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40" yWindow="460" windowWidth="32760" windowHeight="24180" tabRatio="1000" activeTab="0"/>
  </bookViews>
  <sheets>
    <sheet name="AC définitives 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frederic.raymond@lezignan-corbieres.fr</author>
  </authors>
  <commentList>
    <comment ref="BD14" authorId="0">
      <text>
        <r>
          <rPr>
            <b/>
            <sz val="10"/>
            <color indexed="8"/>
            <rFont val="Tahoma"/>
            <family val="2"/>
          </rPr>
          <t>frederic.raymond@lezignan-corbieres.fr: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versé 3000 € à travers la convention de MAD des locaux</t>
        </r>
      </text>
    </comment>
    <comment ref="BD22" authorId="0">
      <text>
        <r>
          <rPr>
            <b/>
            <sz val="10"/>
            <color indexed="8"/>
            <rFont val="Tahoma"/>
            <family val="2"/>
          </rPr>
          <t>frederic.raymond@lezignan-corbieres.fr: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versé 3000 € à travers la convention de MAD des locaux</t>
        </r>
      </text>
    </comment>
    <comment ref="BD29" authorId="0">
      <text>
        <r>
          <rPr>
            <b/>
            <sz val="10"/>
            <color indexed="8"/>
            <rFont val="Tahoma"/>
            <family val="2"/>
          </rPr>
          <t>frederic.raymond@lezignan-corbieres.fr: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versé 3000 € à travers la convention de MAD des locaux</t>
        </r>
      </text>
    </comment>
    <comment ref="BD55" authorId="0">
      <text>
        <r>
          <rPr>
            <b/>
            <sz val="10"/>
            <color indexed="8"/>
            <rFont val="Tahoma"/>
            <family val="2"/>
          </rPr>
          <t>frederic.raymond@lezignan-corbieres.fr: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pas d'ALSH intercommunal</t>
        </r>
      </text>
    </comment>
  </commentList>
</comments>
</file>

<file path=xl/sharedStrings.xml><?xml version="1.0" encoding="utf-8"?>
<sst xmlns="http://schemas.openxmlformats.org/spreadsheetml/2006/main" count="266" uniqueCount="148">
  <si>
    <t>CFE</t>
  </si>
  <si>
    <t>CVAE</t>
  </si>
  <si>
    <t>IFER</t>
  </si>
  <si>
    <t>Part dép. de la TH</t>
  </si>
  <si>
    <t>TA FNB</t>
  </si>
  <si>
    <t>Tascom</t>
  </si>
  <si>
    <t>Comp part salaire</t>
  </si>
  <si>
    <t>Comp. Fiscales TH</t>
  </si>
  <si>
    <t>Comp. Fiscales CFE</t>
  </si>
  <si>
    <t>AC droit commun</t>
  </si>
  <si>
    <t>Fiscalité ménages</t>
  </si>
  <si>
    <t>AC corrigée</t>
  </si>
  <si>
    <t>CCCD</t>
  </si>
  <si>
    <t>ALBAS</t>
  </si>
  <si>
    <t>CASCASTEL-DES-CORBIERES</t>
  </si>
  <si>
    <t>COUSTOUGE</t>
  </si>
  <si>
    <t>JONQUIERES</t>
  </si>
  <si>
    <t>QUINTILLAN</t>
  </si>
  <si>
    <t>SAINT-LAURENT-DE-LA-CABRERISSE</t>
  </si>
  <si>
    <t>THEZAN-DES-CORBIERES</t>
  </si>
  <si>
    <t>CCRL</t>
  </si>
  <si>
    <t>ARGENS-MINERVOIS</t>
  </si>
  <si>
    <t>BOUTENAC</t>
  </si>
  <si>
    <t>CAMPLONG-D'AUDE</t>
  </si>
  <si>
    <t>CANET</t>
  </si>
  <si>
    <t>CASTELNAU-D'AUDE</t>
  </si>
  <si>
    <t>CONILHAC-CORBIERES</t>
  </si>
  <si>
    <t>CRUSCADES</t>
  </si>
  <si>
    <t>ESCALES</t>
  </si>
  <si>
    <t>FABREZAN</t>
  </si>
  <si>
    <t>FERRALS-LES-CORBIERES</t>
  </si>
  <si>
    <t>FONTCOUVERTE</t>
  </si>
  <si>
    <t>LEZIGNAN-CORBIERES</t>
  </si>
  <si>
    <t>LUC-SUR-ORBIEU</t>
  </si>
  <si>
    <t>MONTBRUN-DES-CORBIERES</t>
  </si>
  <si>
    <t>MONTSERET</t>
  </si>
  <si>
    <t>ORNAISONS</t>
  </si>
  <si>
    <t>PARAZA</t>
  </si>
  <si>
    <t>ROUBIA</t>
  </si>
  <si>
    <t>SAINT-ANDRE-DE-ROQUELONGUE</t>
  </si>
  <si>
    <t>TOUROUZELLE</t>
  </si>
  <si>
    <t>CCCL</t>
  </si>
  <si>
    <t>LAGRASSE</t>
  </si>
  <si>
    <t>RIBAUTE</t>
  </si>
  <si>
    <t>SAINT-MARTIN-DES-PUITS</t>
  </si>
  <si>
    <t>SAINT-PIERRE-DES-CHAMPS</t>
  </si>
  <si>
    <t>TALAIRAN</t>
  </si>
  <si>
    <t>TOURNISSAN</t>
  </si>
  <si>
    <t>CCMM</t>
  </si>
  <si>
    <t>ALBIERES</t>
  </si>
  <si>
    <t>AURIAC</t>
  </si>
  <si>
    <t>BOUISSE</t>
  </si>
  <si>
    <t>DAVEJEAN</t>
  </si>
  <si>
    <t>DERNACUEILLETTE</t>
  </si>
  <si>
    <t>FELINES-TERMENES</t>
  </si>
  <si>
    <t>LAIRIERE</t>
  </si>
  <si>
    <t>LANET</t>
  </si>
  <si>
    <t>LAROQUE-DE-FA</t>
  </si>
  <si>
    <t>MASSAC</t>
  </si>
  <si>
    <t>MONTJOI</t>
  </si>
  <si>
    <t>MOUTHOUMET</t>
  </si>
  <si>
    <t>SALZA</t>
  </si>
  <si>
    <t>TERMES</t>
  </si>
  <si>
    <t>VIGNEVIEILLE</t>
  </si>
  <si>
    <t>VILLEROUGE-TERMENES</t>
  </si>
  <si>
    <t>CCHM</t>
  </si>
  <si>
    <t>HOMPS</t>
  </si>
  <si>
    <t>CCHC</t>
  </si>
  <si>
    <t>PALAIRAC</t>
  </si>
  <si>
    <t>CCPA</t>
  </si>
  <si>
    <t>MOUX</t>
  </si>
  <si>
    <t>3-Voirie</t>
  </si>
  <si>
    <t>4-OM</t>
  </si>
  <si>
    <t>5-Action sociale</t>
  </si>
  <si>
    <t>6-Sport et culture</t>
  </si>
  <si>
    <t>7-Assainissement non collectif</t>
  </si>
  <si>
    <t>Total des transferts de charges</t>
  </si>
  <si>
    <t>FON</t>
  </si>
  <si>
    <t>INV</t>
  </si>
  <si>
    <t>Interco d'origine</t>
  </si>
  <si>
    <t>Commune</t>
  </si>
  <si>
    <t>8 Fourrière-refuge pour animaux</t>
  </si>
  <si>
    <t>municipale</t>
  </si>
  <si>
    <t>comptée à part</t>
  </si>
  <si>
    <t>totale</t>
  </si>
  <si>
    <t>2-Aménagement de l'espace</t>
  </si>
  <si>
    <t>1-Développement économique</t>
  </si>
  <si>
    <t>TOTALISATION</t>
  </si>
  <si>
    <t>FON:(+) cotis PTOU</t>
  </si>
  <si>
    <t>FON:(-) revers DGF TOU</t>
  </si>
  <si>
    <t>FON:(+) guide</t>
  </si>
  <si>
    <t>FON:(+) forfait ING</t>
  </si>
  <si>
    <t>INV:(+)   VRD IC</t>
  </si>
  <si>
    <t>FON:(+) cotis SM JOUARRES</t>
  </si>
  <si>
    <t>FON: (+) ALSH</t>
  </si>
  <si>
    <t>FON: (+) RAM</t>
  </si>
  <si>
    <t>FON:(+) particip subv 5%. PIG habitat</t>
  </si>
  <si>
    <t>FON:(+) entretien des sentiers et VTT</t>
  </si>
  <si>
    <t>AC défintive 2014</t>
  </si>
  <si>
    <t>9-Restauration collective</t>
  </si>
  <si>
    <t>10- Politique habitat</t>
  </si>
  <si>
    <t>11-Aire gens du voyage</t>
  </si>
  <si>
    <t>13-Compétence scolaire</t>
  </si>
  <si>
    <t>15-Désertification médicale et para médicale</t>
  </si>
  <si>
    <t>16-Environnement et maîtrise énergie</t>
  </si>
  <si>
    <t>17-Haut débit</t>
  </si>
  <si>
    <t>18-Agences postales intercommunales</t>
  </si>
  <si>
    <t>19-Pool administratif</t>
  </si>
  <si>
    <t>20-Etang de Jouarres</t>
  </si>
  <si>
    <t>AC défintive 2015</t>
  </si>
  <si>
    <t>AC défintive 2013</t>
  </si>
  <si>
    <t>FON: ( -) RBT BATIMENT ALSH</t>
  </si>
  <si>
    <t>dont AC negative</t>
  </si>
  <si>
    <t xml:space="preserve">FON:(+) URBA </t>
  </si>
  <si>
    <t xml:space="preserve">FON:(+)        </t>
  </si>
  <si>
    <t>AC défintive 2016</t>
  </si>
  <si>
    <t>FON: (+) Multi Accueil</t>
  </si>
  <si>
    <t>ROQUECOURBE</t>
  </si>
  <si>
    <t>ST COUAT</t>
  </si>
  <si>
    <t>INV- DECHET_LEZ</t>
  </si>
  <si>
    <t>FON-DECHET_LEZ</t>
  </si>
  <si>
    <t>FON: ( -) RBT BATIMENT  multi accueil</t>
  </si>
  <si>
    <t>AC définitive 2017</t>
  </si>
  <si>
    <t>14- Compétence enfance jeunesse</t>
  </si>
  <si>
    <t>solde à verser</t>
  </si>
  <si>
    <t>12.Tourisme</t>
  </si>
  <si>
    <t>AC défintive 2019</t>
  </si>
  <si>
    <t>AC définitive 2018</t>
  </si>
  <si>
    <t xml:space="preserve">FON:   transfert crèche ARIBAUD </t>
  </si>
  <si>
    <t>FON:(+) bureau toursme Lagrasse</t>
  </si>
  <si>
    <t xml:space="preserve"> </t>
  </si>
  <si>
    <t>AC positive</t>
  </si>
  <si>
    <r>
      <t xml:space="preserve">FON:(+)    </t>
    </r>
    <r>
      <rPr>
        <b/>
        <sz val="10"/>
        <color indexed="9"/>
        <rFont val="Calibri"/>
        <family val="2"/>
      </rPr>
      <t>ECC_FER CONS_LEZ  MILCOM FAB_BOU_STA_LEZ</t>
    </r>
  </si>
  <si>
    <t>AC défintive 2020</t>
  </si>
  <si>
    <t>Population au 01/01/2020</t>
  </si>
  <si>
    <t>Population DGF au 01/01/2020</t>
  </si>
  <si>
    <t>INV: transfert creche ARIBAUD</t>
  </si>
  <si>
    <t>FON-masques covid</t>
  </si>
  <si>
    <t>Vérif</t>
  </si>
  <si>
    <t>Population au 01/01/2021</t>
  </si>
  <si>
    <t>Population DGF au 01/01/2021</t>
  </si>
  <si>
    <t>AC défintive 2021</t>
  </si>
  <si>
    <t>AC versée 2021</t>
  </si>
  <si>
    <t>AC  à solder 2021</t>
  </si>
  <si>
    <t>au 09/11/21</t>
  </si>
  <si>
    <t>OK</t>
  </si>
  <si>
    <t>FON:(+) cotis MLOA</t>
  </si>
  <si>
    <t>ok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</si>
</sst>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_-* #,##0.00\ [$€-1]_-;\-* #,##0.00\ [$€-1]_-;_-* &quot;-&quot;??\ [$€-1]_-"/>
    <numFmt numFmtId="175" formatCode="#,##0.0"/>
    <numFmt numFmtId="176" formatCode="0.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39"/>
      <name val="Calibri"/>
      <family val="2"/>
    </font>
    <font>
      <sz val="11"/>
      <color indexed="39"/>
      <name val="Calibri"/>
      <family val="2"/>
    </font>
    <font>
      <b/>
      <sz val="11"/>
      <color indexed="39"/>
      <name val="Calibri"/>
      <family val="2"/>
    </font>
    <font>
      <b/>
      <sz val="12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rgb="FFFF0000"/>
      <name val="Calibri"/>
      <family val="2"/>
    </font>
    <font>
      <sz val="12"/>
      <color rgb="FF0070C0"/>
      <name val="Calibri"/>
      <family val="2"/>
    </font>
    <font>
      <b/>
      <sz val="12"/>
      <color rgb="FF006411"/>
      <name val="Calibri"/>
      <family val="2"/>
    </font>
    <font>
      <sz val="11"/>
      <color rgb="FF006411"/>
      <name val="Calibri"/>
      <family val="2"/>
    </font>
    <font>
      <b/>
      <sz val="11"/>
      <color rgb="FF006411"/>
      <name val="Calibri"/>
      <family val="2"/>
    </font>
    <font>
      <sz val="11"/>
      <color theme="3"/>
      <name val="Calibri"/>
      <family val="2"/>
    </font>
    <font>
      <b/>
      <sz val="8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" fillId="25" borderId="0" applyNumberFormat="0" applyBorder="0" applyAlignment="0" applyProtection="0"/>
    <xf numFmtId="0" fontId="48" fillId="26" borderId="0" applyNumberFormat="0" applyBorder="0" applyAlignment="0" applyProtection="0"/>
    <xf numFmtId="0" fontId="4" fillId="17" borderId="0" applyNumberFormat="0" applyBorder="0" applyAlignment="0" applyProtection="0"/>
    <xf numFmtId="0" fontId="48" fillId="27" borderId="0" applyNumberFormat="0" applyBorder="0" applyAlignment="0" applyProtection="0"/>
    <xf numFmtId="0" fontId="4" fillId="19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8" fillId="30" borderId="0" applyNumberFormat="0" applyBorder="0" applyAlignment="0" applyProtection="0"/>
    <xf numFmtId="0" fontId="4" fillId="31" borderId="0" applyNumberFormat="0" applyBorder="0" applyAlignment="0" applyProtection="0"/>
    <xf numFmtId="0" fontId="48" fillId="32" borderId="0" applyNumberFormat="0" applyBorder="0" applyAlignment="0" applyProtection="0"/>
    <xf numFmtId="0" fontId="4" fillId="33" borderId="0" applyNumberFormat="0" applyBorder="0" applyAlignment="0" applyProtection="0"/>
    <xf numFmtId="0" fontId="48" fillId="34" borderId="0" applyNumberFormat="0" applyBorder="0" applyAlignment="0" applyProtection="0"/>
    <xf numFmtId="0" fontId="4" fillId="35" borderId="0" applyNumberFormat="0" applyBorder="0" applyAlignment="0" applyProtection="0"/>
    <xf numFmtId="0" fontId="48" fillId="36" borderId="0" applyNumberFormat="0" applyBorder="0" applyAlignment="0" applyProtection="0"/>
    <xf numFmtId="0" fontId="4" fillId="37" borderId="0" applyNumberFormat="0" applyBorder="0" applyAlignment="0" applyProtection="0"/>
    <xf numFmtId="0" fontId="48" fillId="38" borderId="0" applyNumberFormat="0" applyBorder="0" applyAlignment="0" applyProtection="0"/>
    <xf numFmtId="0" fontId="4" fillId="39" borderId="0" applyNumberFormat="0" applyBorder="0" applyAlignment="0" applyProtection="0"/>
    <xf numFmtId="0" fontId="48" fillId="40" borderId="0" applyNumberFormat="0" applyBorder="0" applyAlignment="0" applyProtection="0"/>
    <xf numFmtId="0" fontId="4" fillId="29" borderId="0" applyNumberFormat="0" applyBorder="0" applyAlignment="0" applyProtection="0"/>
    <xf numFmtId="0" fontId="48" fillId="41" borderId="0" applyNumberFormat="0" applyBorder="0" applyAlignment="0" applyProtection="0"/>
    <xf numFmtId="0" fontId="4" fillId="31" borderId="0" applyNumberFormat="0" applyBorder="0" applyAlignment="0" applyProtection="0"/>
    <xf numFmtId="0" fontId="48" fillId="42" borderId="0" applyNumberFormat="0" applyBorder="0" applyAlignment="0" applyProtection="0"/>
    <xf numFmtId="0" fontId="4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44" borderId="1" applyNumberFormat="0" applyAlignment="0" applyProtection="0"/>
    <xf numFmtId="0" fontId="6" fillId="45" borderId="2" applyNumberFormat="0" applyAlignment="0" applyProtection="0"/>
    <xf numFmtId="0" fontId="51" fillId="0" borderId="3" applyNumberFormat="0" applyFill="0" applyAlignment="0" applyProtection="0"/>
    <xf numFmtId="0" fontId="7" fillId="0" borderId="4" applyNumberFormat="0" applyFill="0" applyAlignment="0" applyProtection="0"/>
    <xf numFmtId="0" fontId="8" fillId="46" borderId="5" applyNumberFormat="0" applyFont="0" applyAlignment="0" applyProtection="0"/>
    <xf numFmtId="0" fontId="52" fillId="47" borderId="1" applyNumberFormat="0" applyAlignment="0" applyProtection="0"/>
    <xf numFmtId="0" fontId="9" fillId="13" borderId="2" applyNumberFormat="0" applyAlignment="0" applyProtection="0"/>
    <xf numFmtId="174" fontId="8" fillId="0" borderId="0" applyFont="0" applyFill="0" applyBorder="0" applyAlignment="0" applyProtection="0"/>
    <xf numFmtId="0" fontId="8" fillId="0" borderId="0">
      <alignment/>
      <protection/>
    </xf>
    <xf numFmtId="0" fontId="53" fillId="48" borderId="0" applyNumberFormat="0" applyBorder="0" applyAlignment="0" applyProtection="0"/>
    <xf numFmtId="0" fontId="10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49" borderId="0" applyNumberFormat="0" applyBorder="0" applyAlignment="0" applyProtection="0"/>
    <xf numFmtId="0" fontId="11" fillId="50" borderId="0" applyNumberFormat="0" applyBorder="0" applyAlignment="0" applyProtection="0"/>
    <xf numFmtId="0" fontId="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0" fontId="0" fillId="51" borderId="6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8" fillId="52" borderId="0" applyNumberFormat="0" applyBorder="0" applyAlignment="0" applyProtection="0"/>
    <xf numFmtId="0" fontId="12" fillId="7" borderId="0" applyNumberFormat="0" applyBorder="0" applyAlignment="0" applyProtection="0"/>
    <xf numFmtId="0" fontId="59" fillId="44" borderId="7" applyNumberFormat="0" applyAlignment="0" applyProtection="0"/>
    <xf numFmtId="0" fontId="13" fillId="45" borderId="8" applyNumberFormat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15" fillId="0" borderId="10" applyNumberFormat="0" applyFill="0" applyAlignment="0" applyProtection="0"/>
    <xf numFmtId="0" fontId="63" fillId="0" borderId="11" applyNumberFormat="0" applyFill="0" applyAlignment="0" applyProtection="0"/>
    <xf numFmtId="0" fontId="16" fillId="0" borderId="12" applyNumberFormat="0" applyFill="0" applyAlignment="0" applyProtection="0"/>
    <xf numFmtId="0" fontId="64" fillId="0" borderId="13" applyNumberFormat="0" applyFill="0" applyAlignment="0" applyProtection="0"/>
    <xf numFmtId="0" fontId="17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18" fillId="0" borderId="16" applyNumberFormat="0" applyFill="0" applyAlignment="0" applyProtection="0"/>
    <xf numFmtId="0" fontId="66" fillId="53" borderId="17" applyNumberFormat="0" applyAlignment="0" applyProtection="0"/>
    <xf numFmtId="0" fontId="19" fillId="54" borderId="18" applyNumberFormat="0" applyAlignment="0" applyProtection="0"/>
  </cellStyleXfs>
  <cellXfs count="49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68" fillId="55" borderId="28" xfId="0" applyFont="1" applyFill="1" applyBorder="1" applyAlignment="1">
      <alignment horizontal="center" vertical="center" wrapText="1"/>
    </xf>
    <xf numFmtId="0" fontId="68" fillId="56" borderId="28" xfId="0" applyFont="1" applyFill="1" applyBorder="1" applyAlignment="1">
      <alignment horizontal="center" vertical="center" wrapText="1"/>
    </xf>
    <xf numFmtId="0" fontId="68" fillId="56" borderId="29" xfId="0" applyFont="1" applyFill="1" applyBorder="1" applyAlignment="1">
      <alignment horizontal="center" vertical="center" wrapText="1"/>
    </xf>
    <xf numFmtId="3" fontId="69" fillId="0" borderId="30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" fillId="57" borderId="0" xfId="0" applyFont="1" applyFill="1" applyBorder="1" applyAlignment="1">
      <alignment horizontal="center" vertical="center" wrapText="1"/>
    </xf>
    <xf numFmtId="0" fontId="2" fillId="57" borderId="28" xfId="0" applyFont="1" applyFill="1" applyBorder="1" applyAlignment="1">
      <alignment horizontal="center" vertical="center" wrapText="1"/>
    </xf>
    <xf numFmtId="0" fontId="2" fillId="57" borderId="29" xfId="0" applyFont="1" applyFill="1" applyBorder="1" applyAlignment="1">
      <alignment horizontal="center" vertical="center" wrapText="1"/>
    </xf>
    <xf numFmtId="0" fontId="2" fillId="58" borderId="28" xfId="0" applyFont="1" applyFill="1" applyBorder="1" applyAlignment="1">
      <alignment horizontal="center" vertical="center" wrapText="1"/>
    </xf>
    <xf numFmtId="0" fontId="2" fillId="58" borderId="29" xfId="0" applyFont="1" applyFill="1" applyBorder="1" applyAlignment="1">
      <alignment horizontal="center" vertical="center" wrapText="1"/>
    </xf>
    <xf numFmtId="3" fontId="69" fillId="0" borderId="31" xfId="0" applyNumberFormat="1" applyFont="1" applyBorder="1" applyAlignment="1">
      <alignment horizontal="center"/>
    </xf>
    <xf numFmtId="3" fontId="69" fillId="0" borderId="3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3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57" borderId="31" xfId="0" applyFont="1" applyFill="1" applyBorder="1" applyAlignment="1">
      <alignment horizontal="center" vertical="center" wrapText="1"/>
    </xf>
    <xf numFmtId="0" fontId="2" fillId="57" borderId="34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65" fillId="0" borderId="36" xfId="0" applyNumberFormat="1" applyFont="1" applyBorder="1" applyAlignment="1">
      <alignment horizontal="center"/>
    </xf>
    <xf numFmtId="3" fontId="70" fillId="0" borderId="36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67" fillId="0" borderId="0" xfId="0" applyNumberFormat="1" applyFont="1" applyAlignment="1">
      <alignment/>
    </xf>
    <xf numFmtId="3" fontId="71" fillId="0" borderId="32" xfId="0" applyNumberFormat="1" applyFont="1" applyBorder="1" applyAlignment="1">
      <alignment horizontal="center"/>
    </xf>
    <xf numFmtId="3" fontId="71" fillId="0" borderId="37" xfId="0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3" fontId="71" fillId="0" borderId="38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2" fillId="0" borderId="30" xfId="0" applyNumberFormat="1" applyFont="1" applyBorder="1" applyAlignment="1">
      <alignment horizontal="center"/>
    </xf>
    <xf numFmtId="0" fontId="73" fillId="0" borderId="0" xfId="0" applyFont="1" applyAlignment="1">
      <alignment/>
    </xf>
    <xf numFmtId="3" fontId="74" fillId="0" borderId="36" xfId="0" applyNumberFormat="1" applyFont="1" applyBorder="1" applyAlignment="1">
      <alignment horizontal="center"/>
    </xf>
    <xf numFmtId="0" fontId="75" fillId="59" borderId="28" xfId="0" applyFont="1" applyFill="1" applyBorder="1" applyAlignment="1">
      <alignment horizontal="center" vertical="center" wrapText="1"/>
    </xf>
    <xf numFmtId="0" fontId="75" fillId="59" borderId="29" xfId="0" applyFont="1" applyFill="1" applyBorder="1" applyAlignment="1">
      <alignment horizontal="center" vertical="center" wrapText="1"/>
    </xf>
    <xf numFmtId="3" fontId="72" fillId="0" borderId="29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3" fontId="0" fillId="0" borderId="0" xfId="0" applyNumberFormat="1" applyFill="1" applyAlignment="1">
      <alignment/>
    </xf>
    <xf numFmtId="3" fontId="69" fillId="0" borderId="3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68" fillId="60" borderId="28" xfId="0" applyFont="1" applyFill="1" applyBorder="1" applyAlignment="1">
      <alignment horizontal="center" vertical="center" wrapText="1"/>
    </xf>
    <xf numFmtId="0" fontId="68" fillId="60" borderId="29" xfId="0" applyFont="1" applyFill="1" applyBorder="1" applyAlignment="1">
      <alignment horizontal="center" vertical="center" wrapText="1"/>
    </xf>
    <xf numFmtId="3" fontId="41" fillId="0" borderId="30" xfId="0" applyNumberFormat="1" applyFont="1" applyBorder="1" applyAlignment="1">
      <alignment horizontal="center"/>
    </xf>
    <xf numFmtId="3" fontId="41" fillId="0" borderId="31" xfId="0" applyNumberFormat="1" applyFont="1" applyBorder="1" applyAlignment="1">
      <alignment horizontal="center"/>
    </xf>
    <xf numFmtId="3" fontId="41" fillId="0" borderId="32" xfId="0" applyNumberFormat="1" applyFont="1" applyBorder="1" applyAlignment="1">
      <alignment horizontal="center"/>
    </xf>
    <xf numFmtId="3" fontId="41" fillId="0" borderId="30" xfId="0" applyNumberFormat="1" applyFont="1" applyFill="1" applyBorder="1" applyAlignment="1">
      <alignment horizontal="center"/>
    </xf>
    <xf numFmtId="3" fontId="41" fillId="0" borderId="29" xfId="0" applyNumberFormat="1" applyFont="1" applyBorder="1" applyAlignment="1">
      <alignment horizontal="center"/>
    </xf>
    <xf numFmtId="0" fontId="21" fillId="0" borderId="0" xfId="0" applyFont="1" applyAlignment="1">
      <alignment/>
    </xf>
    <xf numFmtId="3" fontId="24" fillId="0" borderId="36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67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3" fontId="69" fillId="0" borderId="29" xfId="0" applyNumberFormat="1" applyFont="1" applyFill="1" applyBorder="1" applyAlignment="1">
      <alignment horizontal="center"/>
    </xf>
    <xf numFmtId="3" fontId="72" fillId="0" borderId="29" xfId="0" applyNumberFormat="1" applyFont="1" applyFill="1" applyBorder="1" applyAlignment="1">
      <alignment horizontal="center"/>
    </xf>
    <xf numFmtId="3" fontId="41" fillId="0" borderId="2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69" fillId="0" borderId="32" xfId="0" applyNumberFormat="1" applyFont="1" applyFill="1" applyBorder="1" applyAlignment="1">
      <alignment horizontal="center"/>
    </xf>
    <xf numFmtId="3" fontId="72" fillId="0" borderId="32" xfId="0" applyNumberFormat="1" applyFont="1" applyFill="1" applyBorder="1" applyAlignment="1">
      <alignment horizontal="center"/>
    </xf>
    <xf numFmtId="3" fontId="41" fillId="0" borderId="3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72" fillId="0" borderId="30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3" fontId="72" fillId="0" borderId="38" xfId="0" applyNumberFormat="1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 vertical="center" wrapText="1"/>
    </xf>
    <xf numFmtId="0" fontId="2" fillId="57" borderId="41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/>
    </xf>
    <xf numFmtId="0" fontId="65" fillId="0" borderId="0" xfId="0" applyFont="1" applyAlignment="1">
      <alignment/>
    </xf>
    <xf numFmtId="0" fontId="24" fillId="61" borderId="0" xfId="0" applyFont="1" applyFill="1" applyAlignment="1">
      <alignment/>
    </xf>
    <xf numFmtId="0" fontId="66" fillId="61" borderId="0" xfId="0" applyFont="1" applyFill="1" applyAlignment="1">
      <alignment horizontal="center" vertical="center" wrapText="1"/>
    </xf>
    <xf numFmtId="3" fontId="65" fillId="0" borderId="32" xfId="0" applyNumberFormat="1" applyFont="1" applyBorder="1" applyAlignment="1">
      <alignment horizontal="center"/>
    </xf>
    <xf numFmtId="3" fontId="65" fillId="0" borderId="37" xfId="0" applyNumberFormat="1" applyFont="1" applyBorder="1" applyAlignment="1">
      <alignment horizontal="center"/>
    </xf>
    <xf numFmtId="3" fontId="24" fillId="0" borderId="37" xfId="0" applyNumberFormat="1" applyFont="1" applyBorder="1" applyAlignment="1">
      <alignment horizontal="center"/>
    </xf>
    <xf numFmtId="3" fontId="65" fillId="0" borderId="37" xfId="0" applyNumberFormat="1" applyFont="1" applyFill="1" applyBorder="1" applyAlignment="1">
      <alignment horizontal="center"/>
    </xf>
    <xf numFmtId="3" fontId="65" fillId="0" borderId="38" xfId="0" applyNumberFormat="1" applyFont="1" applyFill="1" applyBorder="1" applyAlignment="1">
      <alignment horizontal="center"/>
    </xf>
    <xf numFmtId="3" fontId="65" fillId="0" borderId="38" xfId="0" applyNumberFormat="1" applyFont="1" applyBorder="1" applyAlignment="1">
      <alignment horizontal="center"/>
    </xf>
    <xf numFmtId="3" fontId="65" fillId="0" borderId="3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8" fillId="62" borderId="29" xfId="0" applyFont="1" applyFill="1" applyBorder="1" applyAlignment="1">
      <alignment horizontal="center" vertical="center" wrapText="1"/>
    </xf>
    <xf numFmtId="3" fontId="65" fillId="0" borderId="32" xfId="0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65" fillId="0" borderId="45" xfId="0" applyNumberFormat="1" applyFont="1" applyFill="1" applyBorder="1" applyAlignment="1">
      <alignment horizontal="center"/>
    </xf>
    <xf numFmtId="3" fontId="41" fillId="0" borderId="31" xfId="0" applyNumberFormat="1" applyFont="1" applyFill="1" applyBorder="1" applyAlignment="1">
      <alignment horizontal="center"/>
    </xf>
    <xf numFmtId="3" fontId="69" fillId="0" borderId="37" xfId="0" applyNumberFormat="1" applyFont="1" applyFill="1" applyBorder="1" applyAlignment="1">
      <alignment horizontal="center"/>
    </xf>
    <xf numFmtId="3" fontId="69" fillId="0" borderId="38" xfId="0" applyNumberFormat="1" applyFont="1" applyFill="1" applyBorder="1" applyAlignment="1">
      <alignment horizontal="center"/>
    </xf>
    <xf numFmtId="3" fontId="72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3" fontId="41" fillId="0" borderId="37" xfId="0" applyNumberFormat="1" applyFont="1" applyFill="1" applyBorder="1" applyAlignment="1">
      <alignment horizontal="center"/>
    </xf>
    <xf numFmtId="3" fontId="41" fillId="0" borderId="38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2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3" fontId="74" fillId="0" borderId="0" xfId="0" applyNumberFormat="1" applyFont="1" applyFill="1" applyBorder="1" applyAlignment="1">
      <alignment horizontal="center"/>
    </xf>
    <xf numFmtId="0" fontId="66" fillId="61" borderId="28" xfId="0" applyFont="1" applyFill="1" applyBorder="1" applyAlignment="1">
      <alignment horizontal="center" vertical="center" wrapText="1"/>
    </xf>
    <xf numFmtId="0" fontId="65" fillId="61" borderId="31" xfId="0" applyFont="1" applyFill="1" applyBorder="1" applyAlignment="1">
      <alignment horizontal="center"/>
    </xf>
    <xf numFmtId="0" fontId="2" fillId="57" borderId="46" xfId="0" applyFont="1" applyFill="1" applyBorder="1" applyAlignment="1">
      <alignment horizontal="center" vertical="center" wrapText="1"/>
    </xf>
    <xf numFmtId="0" fontId="2" fillId="57" borderId="43" xfId="0" applyFont="1" applyFill="1" applyBorder="1" applyAlignment="1">
      <alignment horizontal="center" vertical="center" wrapText="1"/>
    </xf>
    <xf numFmtId="0" fontId="2" fillId="57" borderId="44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0" fontId="75" fillId="60" borderId="0" xfId="0" applyFont="1" applyFill="1" applyBorder="1" applyAlignment="1">
      <alignment horizontal="center" vertical="center" wrapText="1"/>
    </xf>
    <xf numFmtId="3" fontId="76" fillId="0" borderId="32" xfId="0" applyNumberFormat="1" applyFont="1" applyFill="1" applyBorder="1" applyAlignment="1">
      <alignment horizontal="center"/>
    </xf>
    <xf numFmtId="3" fontId="76" fillId="0" borderId="37" xfId="0" applyNumberFormat="1" applyFont="1" applyFill="1" applyBorder="1" applyAlignment="1">
      <alignment horizontal="center"/>
    </xf>
    <xf numFmtId="3" fontId="76" fillId="0" borderId="38" xfId="0" applyNumberFormat="1" applyFont="1" applyFill="1" applyBorder="1" applyAlignment="1">
      <alignment horizontal="center"/>
    </xf>
    <xf numFmtId="3" fontId="76" fillId="0" borderId="32" xfId="0" applyNumberFormat="1" applyFont="1" applyBorder="1" applyAlignment="1">
      <alignment horizontal="center"/>
    </xf>
    <xf numFmtId="3" fontId="76" fillId="0" borderId="37" xfId="0" applyNumberFormat="1" applyFont="1" applyBorder="1" applyAlignment="1">
      <alignment horizontal="center"/>
    </xf>
    <xf numFmtId="3" fontId="76" fillId="0" borderId="38" xfId="0" applyNumberFormat="1" applyFont="1" applyBorder="1" applyAlignment="1">
      <alignment horizontal="center"/>
    </xf>
    <xf numFmtId="3" fontId="65" fillId="0" borderId="3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75" fillId="62" borderId="33" xfId="0" applyFont="1" applyFill="1" applyBorder="1" applyAlignment="1">
      <alignment horizontal="center" vertical="center" wrapText="1"/>
    </xf>
    <xf numFmtId="0" fontId="75" fillId="62" borderId="47" xfId="0" applyFont="1" applyFill="1" applyBorder="1" applyAlignment="1">
      <alignment horizontal="center" vertical="center" wrapText="1"/>
    </xf>
    <xf numFmtId="0" fontId="75" fillId="62" borderId="48" xfId="0" applyFont="1" applyFill="1" applyBorder="1" applyAlignment="1">
      <alignment horizontal="center" vertical="center" wrapText="1"/>
    </xf>
    <xf numFmtId="0" fontId="75" fillId="62" borderId="49" xfId="0" applyFont="1" applyFill="1" applyBorder="1" applyAlignment="1">
      <alignment horizontal="center" vertical="center" wrapText="1"/>
    </xf>
    <xf numFmtId="0" fontId="75" fillId="62" borderId="48" xfId="0" applyFont="1" applyFill="1" applyBorder="1" applyAlignment="1">
      <alignment horizontal="center" vertical="center" wrapText="1"/>
    </xf>
    <xf numFmtId="0" fontId="75" fillId="62" borderId="49" xfId="0" applyFont="1" applyFill="1" applyBorder="1" applyAlignment="1">
      <alignment horizontal="center" vertical="center" wrapText="1"/>
    </xf>
    <xf numFmtId="0" fontId="75" fillId="62" borderId="50" xfId="0" applyFont="1" applyFill="1" applyBorder="1" applyAlignment="1">
      <alignment horizontal="center" vertical="center" wrapText="1"/>
    </xf>
    <xf numFmtId="0" fontId="75" fillId="62" borderId="51" xfId="0" applyFont="1" applyFill="1" applyBorder="1" applyAlignment="1">
      <alignment horizontal="center" vertical="center" wrapText="1"/>
    </xf>
    <xf numFmtId="0" fontId="75" fillId="62" borderId="50" xfId="0" applyFont="1" applyFill="1" applyBorder="1" applyAlignment="1">
      <alignment horizontal="center" vertical="center" wrapText="1"/>
    </xf>
    <xf numFmtId="0" fontId="75" fillId="62" borderId="52" xfId="0" applyFont="1" applyFill="1" applyBorder="1" applyAlignment="1">
      <alignment horizontal="center" vertical="center" wrapText="1"/>
    </xf>
    <xf numFmtId="3" fontId="57" fillId="0" borderId="19" xfId="0" applyNumberFormat="1" applyFont="1" applyBorder="1" applyAlignment="1">
      <alignment/>
    </xf>
    <xf numFmtId="3" fontId="57" fillId="0" borderId="53" xfId="0" applyNumberFormat="1" applyFont="1" applyBorder="1" applyAlignment="1">
      <alignment/>
    </xf>
    <xf numFmtId="3" fontId="57" fillId="0" borderId="54" xfId="0" applyNumberFormat="1" applyFont="1" applyBorder="1" applyAlignment="1">
      <alignment/>
    </xf>
    <xf numFmtId="3" fontId="57" fillId="0" borderId="53" xfId="0" applyNumberFormat="1" applyFont="1" applyBorder="1" applyAlignment="1">
      <alignment/>
    </xf>
    <xf numFmtId="3" fontId="57" fillId="0" borderId="35" xfId="0" applyNumberFormat="1" applyFont="1" applyBorder="1" applyAlignment="1">
      <alignment/>
    </xf>
    <xf numFmtId="3" fontId="57" fillId="0" borderId="35" xfId="0" applyNumberFormat="1" applyFont="1" applyBorder="1" applyAlignment="1">
      <alignment/>
    </xf>
    <xf numFmtId="3" fontId="57" fillId="0" borderId="55" xfId="0" applyNumberFormat="1" applyFont="1" applyBorder="1" applyAlignment="1">
      <alignment/>
    </xf>
    <xf numFmtId="3" fontId="57" fillId="0" borderId="35" xfId="0" applyNumberFormat="1" applyFont="1" applyBorder="1" applyAlignment="1">
      <alignment/>
    </xf>
    <xf numFmtId="3" fontId="57" fillId="0" borderId="50" xfId="0" applyNumberFormat="1" applyFont="1" applyBorder="1" applyAlignment="1">
      <alignment/>
    </xf>
    <xf numFmtId="3" fontId="57" fillId="0" borderId="48" xfId="0" applyNumberFormat="1" applyFont="1" applyBorder="1" applyAlignment="1">
      <alignment/>
    </xf>
    <xf numFmtId="3" fontId="57" fillId="0" borderId="49" xfId="0" applyNumberFormat="1" applyFont="1" applyBorder="1" applyAlignment="1">
      <alignment/>
    </xf>
    <xf numFmtId="3" fontId="57" fillId="0" borderId="50" xfId="0" applyNumberFormat="1" applyFont="1" applyBorder="1" applyAlignment="1">
      <alignment/>
    </xf>
    <xf numFmtId="3" fontId="57" fillId="0" borderId="52" xfId="0" applyNumberFormat="1" applyFont="1" applyBorder="1" applyAlignment="1">
      <alignment/>
    </xf>
    <xf numFmtId="3" fontId="57" fillId="0" borderId="35" xfId="0" applyNumberFormat="1" applyFont="1" applyFill="1" applyBorder="1" applyAlignment="1">
      <alignment/>
    </xf>
    <xf numFmtId="3" fontId="57" fillId="0" borderId="53" xfId="0" applyNumberFormat="1" applyFont="1" applyFill="1" applyBorder="1" applyAlignment="1">
      <alignment/>
    </xf>
    <xf numFmtId="3" fontId="57" fillId="0" borderId="54" xfId="0" applyNumberFormat="1" applyFont="1" applyFill="1" applyBorder="1" applyAlignment="1">
      <alignment/>
    </xf>
    <xf numFmtId="3" fontId="57" fillId="0" borderId="53" xfId="0" applyNumberFormat="1" applyFont="1" applyFill="1" applyBorder="1" applyAlignment="1">
      <alignment/>
    </xf>
    <xf numFmtId="3" fontId="57" fillId="0" borderId="35" xfId="0" applyNumberFormat="1" applyFont="1" applyFill="1" applyBorder="1" applyAlignment="1">
      <alignment/>
    </xf>
    <xf numFmtId="3" fontId="57" fillId="0" borderId="55" xfId="0" applyNumberFormat="1" applyFont="1" applyFill="1" applyBorder="1" applyAlignment="1">
      <alignment/>
    </xf>
    <xf numFmtId="3" fontId="57" fillId="0" borderId="50" xfId="0" applyNumberFormat="1" applyFont="1" applyFill="1" applyBorder="1" applyAlignment="1">
      <alignment/>
    </xf>
    <xf numFmtId="3" fontId="57" fillId="0" borderId="48" xfId="0" applyNumberFormat="1" applyFont="1" applyFill="1" applyBorder="1" applyAlignment="1">
      <alignment/>
    </xf>
    <xf numFmtId="3" fontId="57" fillId="0" borderId="50" xfId="0" applyNumberFormat="1" applyFont="1" applyFill="1" applyBorder="1" applyAlignment="1">
      <alignment/>
    </xf>
    <xf numFmtId="3" fontId="57" fillId="0" borderId="52" xfId="0" applyNumberFormat="1" applyFont="1" applyFill="1" applyBorder="1" applyAlignment="1">
      <alignment/>
    </xf>
    <xf numFmtId="3" fontId="57" fillId="0" borderId="56" xfId="0" applyNumberFormat="1" applyFont="1" applyFill="1" applyBorder="1" applyAlignment="1">
      <alignment/>
    </xf>
    <xf numFmtId="3" fontId="57" fillId="0" borderId="47" xfId="0" applyNumberFormat="1" applyFont="1" applyFill="1" applyBorder="1" applyAlignment="1">
      <alignment/>
    </xf>
    <xf numFmtId="3" fontId="57" fillId="0" borderId="41" xfId="0" applyNumberFormat="1" applyFont="1" applyFill="1" applyBorder="1" applyAlignment="1">
      <alignment/>
    </xf>
    <xf numFmtId="3" fontId="57" fillId="0" borderId="57" xfId="0" applyNumberFormat="1" applyFont="1" applyFill="1" applyBorder="1" applyAlignment="1">
      <alignment/>
    </xf>
    <xf numFmtId="3" fontId="57" fillId="0" borderId="35" xfId="0" applyNumberFormat="1" applyFont="1" applyFill="1" applyBorder="1" applyAlignment="1">
      <alignment/>
    </xf>
    <xf numFmtId="3" fontId="57" fillId="0" borderId="24" xfId="0" applyNumberFormat="1" applyFont="1" applyFill="1" applyBorder="1" applyAlignment="1">
      <alignment/>
    </xf>
    <xf numFmtId="3" fontId="57" fillId="0" borderId="22" xfId="0" applyNumberFormat="1" applyFont="1" applyFill="1" applyBorder="1" applyAlignment="1">
      <alignment/>
    </xf>
    <xf numFmtId="3" fontId="57" fillId="0" borderId="58" xfId="0" applyNumberFormat="1" applyFont="1" applyFill="1" applyBorder="1" applyAlignment="1">
      <alignment/>
    </xf>
    <xf numFmtId="3" fontId="57" fillId="0" borderId="27" xfId="0" applyNumberFormat="1" applyFont="1" applyFill="1" applyBorder="1" applyAlignment="1">
      <alignment/>
    </xf>
    <xf numFmtId="3" fontId="57" fillId="0" borderId="25" xfId="0" applyNumberFormat="1" applyFont="1" applyFill="1" applyBorder="1" applyAlignment="1">
      <alignment/>
    </xf>
    <xf numFmtId="3" fontId="57" fillId="0" borderId="59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65" fillId="0" borderId="60" xfId="0" applyNumberFormat="1" applyFont="1" applyBorder="1" applyAlignment="1">
      <alignment/>
    </xf>
    <xf numFmtId="0" fontId="65" fillId="0" borderId="61" xfId="0" applyFont="1" applyBorder="1" applyAlignment="1">
      <alignment/>
    </xf>
    <xf numFmtId="0" fontId="0" fillId="0" borderId="61" xfId="0" applyFont="1" applyBorder="1" applyAlignment="1">
      <alignment/>
    </xf>
    <xf numFmtId="3" fontId="0" fillId="0" borderId="0" xfId="0" applyNumberFormat="1" applyAlignment="1">
      <alignment vertical="center"/>
    </xf>
    <xf numFmtId="3" fontId="65" fillId="0" borderId="23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7" fillId="0" borderId="0" xfId="0" applyFont="1" applyAlignment="1">
      <alignment horizontal="center"/>
    </xf>
    <xf numFmtId="3" fontId="77" fillId="0" borderId="0" xfId="0" applyNumberFormat="1" applyFont="1" applyAlignment="1">
      <alignment horizont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8" fillId="0" borderId="61" xfId="0" applyFont="1" applyBorder="1" applyAlignment="1">
      <alignment/>
    </xf>
    <xf numFmtId="3" fontId="41" fillId="0" borderId="37" xfId="0" applyNumberFormat="1" applyFont="1" applyBorder="1" applyAlignment="1">
      <alignment horizontal="center"/>
    </xf>
    <xf numFmtId="3" fontId="41" fillId="0" borderId="38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3" fontId="57" fillId="0" borderId="62" xfId="0" applyNumberFormat="1" applyFont="1" applyBorder="1" applyAlignment="1">
      <alignment/>
    </xf>
    <xf numFmtId="0" fontId="57" fillId="0" borderId="21" xfId="0" applyFont="1" applyBorder="1" applyAlignment="1">
      <alignment/>
    </xf>
    <xf numFmtId="3" fontId="57" fillId="0" borderId="24" xfId="0" applyNumberFormat="1" applyFont="1" applyBorder="1" applyAlignment="1">
      <alignment/>
    </xf>
    <xf numFmtId="0" fontId="57" fillId="0" borderId="24" xfId="0" applyFont="1" applyBorder="1" applyAlignment="1">
      <alignment/>
    </xf>
    <xf numFmtId="3" fontId="57" fillId="0" borderId="27" xfId="0" applyNumberFormat="1" applyFont="1" applyBorder="1" applyAlignment="1">
      <alignment/>
    </xf>
    <xf numFmtId="0" fontId="75" fillId="62" borderId="47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3" fontId="77" fillId="0" borderId="0" xfId="0" applyNumberFormat="1" applyFont="1" applyAlignment="1">
      <alignment horizontal="center"/>
    </xf>
    <xf numFmtId="3" fontId="77" fillId="0" borderId="0" xfId="0" applyNumberFormat="1" applyFont="1" applyFill="1" applyAlignment="1">
      <alignment horizontal="center" vertical="center"/>
    </xf>
    <xf numFmtId="3" fontId="77" fillId="0" borderId="0" xfId="0" applyNumberFormat="1" applyFont="1" applyBorder="1" applyAlignment="1">
      <alignment/>
    </xf>
    <xf numFmtId="0" fontId="77" fillId="0" borderId="0" xfId="0" applyFont="1" applyAlignment="1">
      <alignment horizontal="center"/>
    </xf>
    <xf numFmtId="3" fontId="77" fillId="0" borderId="0" xfId="0" applyNumberFormat="1" applyFont="1" applyAlignment="1">
      <alignment horizontal="center"/>
    </xf>
    <xf numFmtId="3" fontId="20" fillId="0" borderId="62" xfId="0" applyNumberFormat="1" applyFont="1" applyFill="1" applyBorder="1" applyAlignment="1">
      <alignment horizontal="center"/>
    </xf>
    <xf numFmtId="3" fontId="20" fillId="0" borderId="54" xfId="0" applyNumberFormat="1" applyFont="1" applyFill="1" applyBorder="1" applyAlignment="1">
      <alignment/>
    </xf>
    <xf numFmtId="3" fontId="20" fillId="0" borderId="56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/>
    </xf>
    <xf numFmtId="3" fontId="20" fillId="0" borderId="19" xfId="0" applyNumberFormat="1" applyFont="1" applyBorder="1" applyAlignment="1">
      <alignment/>
    </xf>
    <xf numFmtId="3" fontId="20" fillId="0" borderId="21" xfId="0" applyNumberFormat="1" applyFont="1" applyBorder="1" applyAlignment="1">
      <alignment horizont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53" xfId="0" applyNumberFormat="1" applyFont="1" applyBorder="1" applyAlignment="1">
      <alignment/>
    </xf>
    <xf numFmtId="3" fontId="20" fillId="0" borderId="54" xfId="0" applyNumberFormat="1" applyFont="1" applyBorder="1" applyAlignment="1">
      <alignment/>
    </xf>
    <xf numFmtId="3" fontId="20" fillId="0" borderId="53" xfId="0" applyNumberFormat="1" applyFont="1" applyBorder="1" applyAlignment="1">
      <alignment/>
    </xf>
    <xf numFmtId="3" fontId="20" fillId="0" borderId="54" xfId="0" applyNumberFormat="1" applyFont="1" applyBorder="1" applyAlignment="1">
      <alignment/>
    </xf>
    <xf numFmtId="3" fontId="20" fillId="0" borderId="55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19" xfId="0" applyNumberFormat="1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center"/>
    </xf>
    <xf numFmtId="3" fontId="20" fillId="0" borderId="20" xfId="0" applyNumberFormat="1" applyFont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3" fontId="20" fillId="0" borderId="57" xfId="0" applyNumberFormat="1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center"/>
    </xf>
    <xf numFmtId="3" fontId="20" fillId="0" borderId="63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 horizontal="center" vertical="center"/>
    </xf>
    <xf numFmtId="3" fontId="20" fillId="0" borderId="57" xfId="0" applyNumberFormat="1" applyFont="1" applyBorder="1" applyAlignment="1">
      <alignment/>
    </xf>
    <xf numFmtId="3" fontId="20" fillId="0" borderId="55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20" fillId="0" borderId="54" xfId="0" applyNumberFormat="1" applyFont="1" applyFill="1" applyBorder="1" applyAlignment="1">
      <alignment horizontal="center"/>
    </xf>
    <xf numFmtId="3" fontId="20" fillId="0" borderId="35" xfId="0" applyNumberFormat="1" applyFont="1" applyFill="1" applyBorder="1" applyAlignment="1">
      <alignment horizontal="center"/>
    </xf>
    <xf numFmtId="3" fontId="20" fillId="0" borderId="53" xfId="0" applyNumberFormat="1" applyFont="1" applyFill="1" applyBorder="1" applyAlignment="1">
      <alignment horizontal="center"/>
    </xf>
    <xf numFmtId="3" fontId="20" fillId="0" borderId="39" xfId="0" applyNumberFormat="1" applyFont="1" applyFill="1" applyBorder="1" applyAlignment="1">
      <alignment horizontal="center"/>
    </xf>
    <xf numFmtId="3" fontId="20" fillId="0" borderId="39" xfId="0" applyNumberFormat="1" applyFont="1" applyFill="1" applyBorder="1" applyAlignment="1">
      <alignment horizontal="center"/>
    </xf>
    <xf numFmtId="3" fontId="20" fillId="0" borderId="64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/>
    </xf>
    <xf numFmtId="3" fontId="20" fillId="0" borderId="50" xfId="0" applyNumberFormat="1" applyFont="1" applyBorder="1" applyAlignment="1">
      <alignment/>
    </xf>
    <xf numFmtId="3" fontId="20" fillId="0" borderId="27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/>
    </xf>
    <xf numFmtId="3" fontId="20" fillId="0" borderId="27" xfId="0" applyNumberFormat="1" applyFont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"/>
    </xf>
    <xf numFmtId="3" fontId="20" fillId="0" borderId="48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3" fontId="20" fillId="0" borderId="52" xfId="0" applyNumberFormat="1" applyFont="1" applyBorder="1" applyAlignment="1">
      <alignment/>
    </xf>
    <xf numFmtId="3" fontId="20" fillId="0" borderId="25" xfId="0" applyNumberFormat="1" applyFont="1" applyFill="1" applyBorder="1" applyAlignment="1">
      <alignment horizontal="center"/>
    </xf>
    <xf numFmtId="3" fontId="20" fillId="0" borderId="26" xfId="0" applyNumberFormat="1" applyFont="1" applyFill="1" applyBorder="1" applyAlignment="1">
      <alignment horizontal="center"/>
    </xf>
    <xf numFmtId="3" fontId="20" fillId="0" borderId="26" xfId="0" applyNumberFormat="1" applyFont="1" applyBorder="1" applyAlignment="1">
      <alignment horizontal="center"/>
    </xf>
    <xf numFmtId="3" fontId="20" fillId="0" borderId="49" xfId="0" applyNumberFormat="1" applyFont="1" applyFill="1" applyBorder="1" applyAlignment="1">
      <alignment horizontal="center"/>
    </xf>
    <xf numFmtId="3" fontId="20" fillId="0" borderId="50" xfId="0" applyNumberFormat="1" applyFont="1" applyFill="1" applyBorder="1" applyAlignment="1">
      <alignment horizontal="center"/>
    </xf>
    <xf numFmtId="3" fontId="20" fillId="0" borderId="48" xfId="0" applyNumberFormat="1" applyFont="1" applyFill="1" applyBorder="1" applyAlignment="1">
      <alignment horizontal="center"/>
    </xf>
    <xf numFmtId="3" fontId="20" fillId="0" borderId="65" xfId="0" applyNumberFormat="1" applyFont="1" applyFill="1" applyBorder="1" applyAlignment="1">
      <alignment horizontal="center"/>
    </xf>
    <xf numFmtId="3" fontId="20" fillId="0" borderId="65" xfId="0" applyNumberFormat="1" applyFont="1" applyFill="1" applyBorder="1" applyAlignment="1">
      <alignment horizontal="center"/>
    </xf>
    <xf numFmtId="3" fontId="20" fillId="0" borderId="51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 horizontal="center" vertical="center"/>
    </xf>
    <xf numFmtId="3" fontId="20" fillId="0" borderId="52" xfId="0" applyNumberFormat="1" applyFont="1" applyBorder="1" applyAlignment="1">
      <alignment/>
    </xf>
    <xf numFmtId="3" fontId="20" fillId="0" borderId="50" xfId="0" applyNumberFormat="1" applyFont="1" applyBorder="1" applyAlignment="1">
      <alignment/>
    </xf>
    <xf numFmtId="3" fontId="20" fillId="0" borderId="54" xfId="0" applyNumberFormat="1" applyFont="1" applyBorder="1" applyAlignment="1" quotePrefix="1">
      <alignment horizontal="center"/>
    </xf>
    <xf numFmtId="3" fontId="20" fillId="0" borderId="19" xfId="0" applyNumberFormat="1" applyFont="1" applyBorder="1" applyAlignment="1">
      <alignment horizontal="center"/>
    </xf>
    <xf numFmtId="3" fontId="20" fillId="0" borderId="62" xfId="0" applyNumberFormat="1" applyFont="1" applyBorder="1" applyAlignment="1">
      <alignment horizontal="center"/>
    </xf>
    <xf numFmtId="3" fontId="20" fillId="0" borderId="55" xfId="0" applyNumberFormat="1" applyFont="1" applyFill="1" applyBorder="1" applyAlignment="1">
      <alignment horizontal="center"/>
    </xf>
    <xf numFmtId="3" fontId="20" fillId="0" borderId="35" xfId="0" applyNumberFormat="1" applyFont="1" applyFill="1" applyBorder="1" applyAlignment="1">
      <alignment horizontal="center"/>
    </xf>
    <xf numFmtId="3" fontId="20" fillId="0" borderId="39" xfId="0" applyNumberFormat="1" applyFont="1" applyBorder="1" applyAlignment="1">
      <alignment horizontal="center"/>
    </xf>
    <xf numFmtId="3" fontId="20" fillId="0" borderId="39" xfId="0" applyNumberFormat="1" applyFont="1" applyFill="1" applyBorder="1" applyAlignment="1">
      <alignment/>
    </xf>
    <xf numFmtId="3" fontId="20" fillId="0" borderId="35" xfId="0" applyNumberFormat="1" applyFont="1" applyBorder="1" applyAlignment="1">
      <alignment horizontal="center"/>
    </xf>
    <xf numFmtId="3" fontId="20" fillId="0" borderId="66" xfId="0" applyNumberFormat="1" applyFont="1" applyBorder="1" applyAlignment="1">
      <alignment horizontal="center"/>
    </xf>
    <xf numFmtId="3" fontId="20" fillId="0" borderId="54" xfId="0" applyNumberFormat="1" applyFont="1" applyBorder="1" applyAlignment="1">
      <alignment horizontal="center"/>
    </xf>
    <xf numFmtId="3" fontId="20" fillId="0" borderId="35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 horizontal="center"/>
    </xf>
    <xf numFmtId="3" fontId="20" fillId="0" borderId="53" xfId="0" applyNumberFormat="1" applyFont="1" applyFill="1" applyBorder="1" applyAlignment="1">
      <alignment/>
    </xf>
    <xf numFmtId="3" fontId="20" fillId="0" borderId="54" xfId="0" applyNumberFormat="1" applyFont="1" applyFill="1" applyBorder="1" applyAlignment="1">
      <alignment horizontal="center"/>
    </xf>
    <xf numFmtId="3" fontId="20" fillId="0" borderId="35" xfId="0" applyNumberFormat="1" applyFont="1" applyFill="1" applyBorder="1" applyAlignment="1">
      <alignment horizontal="center"/>
    </xf>
    <xf numFmtId="3" fontId="20" fillId="0" borderId="54" xfId="0" applyNumberFormat="1" applyFont="1" applyFill="1" applyBorder="1" applyAlignment="1">
      <alignment/>
    </xf>
    <xf numFmtId="3" fontId="20" fillId="0" borderId="53" xfId="0" applyNumberFormat="1" applyFont="1" applyFill="1" applyBorder="1" applyAlignment="1">
      <alignment/>
    </xf>
    <xf numFmtId="3" fontId="20" fillId="0" borderId="55" xfId="0" applyNumberFormat="1" applyFont="1" applyFill="1" applyBorder="1" applyAlignment="1">
      <alignment/>
    </xf>
    <xf numFmtId="3" fontId="20" fillId="0" borderId="55" xfId="0" applyNumberFormat="1" applyFont="1" applyFill="1" applyBorder="1" applyAlignment="1">
      <alignment/>
    </xf>
    <xf numFmtId="3" fontId="20" fillId="0" borderId="35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 horizontal="center"/>
    </xf>
    <xf numFmtId="3" fontId="20" fillId="0" borderId="67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 vertical="center"/>
    </xf>
    <xf numFmtId="3" fontId="20" fillId="0" borderId="39" xfId="0" applyNumberFormat="1" applyFont="1" applyFill="1" applyBorder="1" applyAlignment="1">
      <alignment horizontal="center" vertical="center"/>
    </xf>
    <xf numFmtId="3" fontId="20" fillId="0" borderId="53" xfId="0" applyNumberFormat="1" applyFont="1" applyFill="1" applyBorder="1" applyAlignment="1">
      <alignment horizontal="center"/>
    </xf>
    <xf numFmtId="3" fontId="20" fillId="0" borderId="66" xfId="0" applyNumberFormat="1" applyFont="1" applyFill="1" applyBorder="1" applyAlignment="1">
      <alignment horizontal="center"/>
    </xf>
    <xf numFmtId="3" fontId="20" fillId="0" borderId="50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 horizontal="center"/>
    </xf>
    <xf numFmtId="3" fontId="20" fillId="0" borderId="48" xfId="0" applyNumberFormat="1" applyFont="1" applyFill="1" applyBorder="1" applyAlignment="1">
      <alignment/>
    </xf>
    <xf numFmtId="3" fontId="20" fillId="0" borderId="49" xfId="0" applyNumberFormat="1" applyFont="1" applyFill="1" applyBorder="1" applyAlignment="1">
      <alignment horizontal="center"/>
    </xf>
    <xf numFmtId="3" fontId="20" fillId="0" borderId="50" xfId="0" applyNumberFormat="1" applyFont="1" applyFill="1" applyBorder="1" applyAlignment="1">
      <alignment horizontal="center"/>
    </xf>
    <xf numFmtId="3" fontId="20" fillId="0" borderId="68" xfId="0" applyNumberFormat="1" applyFont="1" applyBorder="1" applyAlignment="1">
      <alignment horizontal="center"/>
    </xf>
    <xf numFmtId="3" fontId="20" fillId="0" borderId="49" xfId="0" applyNumberFormat="1" applyFont="1" applyFill="1" applyBorder="1" applyAlignment="1">
      <alignment/>
    </xf>
    <xf numFmtId="3" fontId="20" fillId="0" borderId="48" xfId="0" applyNumberFormat="1" applyFont="1" applyFill="1" applyBorder="1" applyAlignment="1">
      <alignment/>
    </xf>
    <xf numFmtId="3" fontId="20" fillId="0" borderId="49" xfId="0" applyNumberFormat="1" applyFont="1" applyFill="1" applyBorder="1" applyAlignment="1">
      <alignment/>
    </xf>
    <xf numFmtId="3" fontId="20" fillId="0" borderId="52" xfId="0" applyNumberFormat="1" applyFont="1" applyFill="1" applyBorder="1" applyAlignment="1">
      <alignment horizontal="center"/>
    </xf>
    <xf numFmtId="3" fontId="20" fillId="0" borderId="52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 horizontal="center"/>
    </xf>
    <xf numFmtId="3" fontId="20" fillId="0" borderId="47" xfId="0" applyNumberFormat="1" applyFont="1" applyFill="1" applyBorder="1" applyAlignment="1">
      <alignment horizontal="center"/>
    </xf>
    <xf numFmtId="3" fontId="20" fillId="0" borderId="67" xfId="0" applyNumberFormat="1" applyFont="1" applyFill="1" applyBorder="1" applyAlignment="1">
      <alignment horizontal="center"/>
    </xf>
    <xf numFmtId="3" fontId="20" fillId="0" borderId="52" xfId="0" applyNumberFormat="1" applyFont="1" applyFill="1" applyBorder="1" applyAlignment="1">
      <alignment/>
    </xf>
    <xf numFmtId="3" fontId="20" fillId="0" borderId="50" xfId="0" applyNumberFormat="1" applyFont="1" applyFill="1" applyBorder="1" applyAlignment="1">
      <alignment/>
    </xf>
    <xf numFmtId="3" fontId="20" fillId="0" borderId="57" xfId="0" applyNumberFormat="1" applyFont="1" applyBorder="1" applyAlignment="1">
      <alignment/>
    </xf>
    <xf numFmtId="3" fontId="20" fillId="0" borderId="19" xfId="0" applyNumberFormat="1" applyFont="1" applyFill="1" applyBorder="1" applyAlignment="1">
      <alignment horizontal="center" vertical="center"/>
    </xf>
    <xf numFmtId="3" fontId="20" fillId="0" borderId="57" xfId="0" applyNumberFormat="1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horizontal="center" vertical="center"/>
    </xf>
    <xf numFmtId="3" fontId="20" fillId="0" borderId="53" xfId="0" applyNumberFormat="1" applyFont="1" applyFill="1" applyBorder="1" applyAlignment="1">
      <alignment horizontal="center" vertical="center"/>
    </xf>
    <xf numFmtId="3" fontId="20" fillId="0" borderId="50" xfId="0" applyNumberFormat="1" applyFont="1" applyFill="1" applyBorder="1" applyAlignment="1">
      <alignment horizontal="center" vertical="center"/>
    </xf>
    <xf numFmtId="3" fontId="20" fillId="0" borderId="48" xfId="0" applyNumberFormat="1" applyFont="1" applyFill="1" applyBorder="1" applyAlignment="1">
      <alignment horizontal="center" vertical="center"/>
    </xf>
    <xf numFmtId="3" fontId="20" fillId="0" borderId="26" xfId="0" applyNumberFormat="1" applyFont="1" applyFill="1" applyBorder="1" applyAlignment="1">
      <alignment horizontal="center" vertical="center"/>
    </xf>
    <xf numFmtId="3" fontId="20" fillId="0" borderId="65" xfId="0" applyNumberFormat="1" applyFont="1" applyFill="1" applyBorder="1" applyAlignment="1">
      <alignment horizontal="center" vertical="center"/>
    </xf>
    <xf numFmtId="3" fontId="20" fillId="0" borderId="69" xfId="0" applyNumberFormat="1" applyFont="1" applyBorder="1" applyAlignment="1">
      <alignment horizontal="center"/>
    </xf>
    <xf numFmtId="3" fontId="20" fillId="0" borderId="20" xfId="0" applyNumberFormat="1" applyFont="1" applyFill="1" applyBorder="1" applyAlignment="1">
      <alignment/>
    </xf>
    <xf numFmtId="3" fontId="20" fillId="0" borderId="35" xfId="0" applyNumberFormat="1" applyFont="1" applyFill="1" applyBorder="1" applyAlignment="1" quotePrefix="1">
      <alignment horizontal="center"/>
    </xf>
    <xf numFmtId="3" fontId="20" fillId="0" borderId="47" xfId="0" applyNumberFormat="1" applyFont="1" applyFill="1" applyBorder="1" applyAlignment="1">
      <alignment/>
    </xf>
    <xf numFmtId="3" fontId="20" fillId="0" borderId="56" xfId="0" applyNumberFormat="1" applyFont="1" applyFill="1" applyBorder="1" applyAlignment="1">
      <alignment horizontal="center"/>
    </xf>
    <xf numFmtId="3" fontId="20" fillId="0" borderId="56" xfId="0" applyNumberFormat="1" applyFont="1" applyFill="1" applyBorder="1" applyAlignment="1">
      <alignment/>
    </xf>
    <xf numFmtId="3" fontId="20" fillId="0" borderId="47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3" fontId="20" fillId="0" borderId="65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 horizontal="center"/>
    </xf>
    <xf numFmtId="3" fontId="20" fillId="0" borderId="57" xfId="0" applyNumberFormat="1" applyFont="1" applyFill="1" applyBorder="1" applyAlignment="1">
      <alignment/>
    </xf>
    <xf numFmtId="3" fontId="20" fillId="0" borderId="62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3" fontId="20" fillId="0" borderId="62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3" fontId="20" fillId="0" borderId="62" xfId="0" applyNumberFormat="1" applyFont="1" applyFill="1" applyBorder="1" applyAlignment="1">
      <alignment/>
    </xf>
    <xf numFmtId="3" fontId="20" fillId="0" borderId="70" xfId="0" applyNumberFormat="1" applyFont="1" applyFill="1" applyBorder="1" applyAlignment="1">
      <alignment/>
    </xf>
    <xf numFmtId="3" fontId="20" fillId="0" borderId="57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 horizontal="center"/>
    </xf>
    <xf numFmtId="3" fontId="20" fillId="0" borderId="44" xfId="0" applyNumberFormat="1" applyFont="1" applyFill="1" applyBorder="1" applyAlignment="1">
      <alignment horizontal="center"/>
    </xf>
    <xf numFmtId="3" fontId="20" fillId="0" borderId="56" xfId="0" applyNumberFormat="1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20" fillId="0" borderId="58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71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 horizontal="center"/>
    </xf>
    <xf numFmtId="3" fontId="20" fillId="0" borderId="58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 horizontal="center"/>
    </xf>
    <xf numFmtId="3" fontId="20" fillId="0" borderId="59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3" fontId="20" fillId="0" borderId="72" xfId="0" applyNumberFormat="1" applyFont="1" applyFill="1" applyBorder="1" applyAlignment="1">
      <alignment/>
    </xf>
    <xf numFmtId="3" fontId="20" fillId="0" borderId="68" xfId="0" applyNumberFormat="1" applyFont="1" applyFill="1" applyBorder="1" applyAlignment="1">
      <alignment horizontal="center"/>
    </xf>
    <xf numFmtId="3" fontId="20" fillId="0" borderId="25" xfId="0" applyNumberFormat="1" applyFont="1" applyFill="1" applyBorder="1" applyAlignment="1">
      <alignment horizontal="center"/>
    </xf>
    <xf numFmtId="3" fontId="20" fillId="0" borderId="26" xfId="0" applyNumberFormat="1" applyFont="1" applyFill="1" applyBorder="1" applyAlignment="1">
      <alignment horizontal="center"/>
    </xf>
    <xf numFmtId="3" fontId="20" fillId="0" borderId="59" xfId="0" applyNumberFormat="1" applyFont="1" applyFill="1" applyBorder="1" applyAlignment="1">
      <alignment/>
    </xf>
    <xf numFmtId="3" fontId="21" fillId="0" borderId="33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3" fontId="24" fillId="0" borderId="60" xfId="0" applyNumberFormat="1" applyFont="1" applyBorder="1" applyAlignment="1">
      <alignment/>
    </xf>
    <xf numFmtId="0" fontId="75" fillId="62" borderId="73" xfId="0" applyFont="1" applyFill="1" applyBorder="1" applyAlignment="1">
      <alignment horizontal="center" vertical="center" wrapText="1"/>
    </xf>
    <xf numFmtId="0" fontId="75" fillId="62" borderId="56" xfId="0" applyFont="1" applyFill="1" applyBorder="1" applyAlignment="1">
      <alignment horizontal="center" vertical="center" wrapText="1"/>
    </xf>
    <xf numFmtId="0" fontId="75" fillId="62" borderId="42" xfId="0" applyFont="1" applyFill="1" applyBorder="1" applyAlignment="1">
      <alignment horizontal="center" vertical="center" wrapText="1"/>
    </xf>
    <xf numFmtId="0" fontId="75" fillId="62" borderId="25" xfId="0" applyFont="1" applyFill="1" applyBorder="1" applyAlignment="1">
      <alignment horizontal="center" vertical="center" wrapText="1"/>
    </xf>
    <xf numFmtId="0" fontId="75" fillId="62" borderId="26" xfId="0" applyFont="1" applyFill="1" applyBorder="1" applyAlignment="1">
      <alignment horizontal="center" vertical="center" wrapText="1"/>
    </xf>
    <xf numFmtId="0" fontId="75" fillId="62" borderId="68" xfId="0" applyFont="1" applyFill="1" applyBorder="1" applyAlignment="1">
      <alignment horizontal="center" vertical="center" wrapText="1"/>
    </xf>
    <xf numFmtId="0" fontId="75" fillId="62" borderId="42" xfId="0" applyFont="1" applyFill="1" applyBorder="1" applyAlignment="1">
      <alignment horizontal="center" vertical="center" wrapText="1"/>
    </xf>
    <xf numFmtId="0" fontId="75" fillId="62" borderId="46" xfId="0" applyFont="1" applyFill="1" applyBorder="1" applyAlignment="1">
      <alignment horizontal="center" vertical="center" wrapText="1"/>
    </xf>
    <xf numFmtId="0" fontId="75" fillId="62" borderId="43" xfId="0" applyFont="1" applyFill="1" applyBorder="1" applyAlignment="1">
      <alignment horizontal="center" vertical="center" wrapText="1"/>
    </xf>
    <xf numFmtId="0" fontId="75" fillId="62" borderId="43" xfId="0" applyFont="1" applyFill="1" applyBorder="1" applyAlignment="1">
      <alignment horizontal="center" vertical="center" wrapText="1"/>
    </xf>
    <xf numFmtId="0" fontId="75" fillId="62" borderId="44" xfId="0" applyFont="1" applyFill="1" applyBorder="1" applyAlignment="1">
      <alignment horizontal="center" vertical="center" wrapText="1"/>
    </xf>
    <xf numFmtId="0" fontId="68" fillId="55" borderId="31" xfId="0" applyFont="1" applyFill="1" applyBorder="1" applyAlignment="1">
      <alignment horizontal="center" vertical="top" wrapText="1"/>
    </xf>
    <xf numFmtId="3" fontId="71" fillId="0" borderId="45" xfId="0" applyNumberFormat="1" applyFont="1" applyBorder="1" applyAlignment="1">
      <alignment horizontal="center"/>
    </xf>
    <xf numFmtId="3" fontId="24" fillId="0" borderId="60" xfId="0" applyNumberFormat="1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49" fillId="0" borderId="0" xfId="0" applyFont="1" applyAlignment="1">
      <alignment horizontal="center"/>
    </xf>
    <xf numFmtId="3" fontId="79" fillId="0" borderId="20" xfId="0" applyNumberFormat="1" applyFont="1" applyFill="1" applyBorder="1" applyAlignment="1">
      <alignment horizontal="center"/>
    </xf>
    <xf numFmtId="3" fontId="79" fillId="0" borderId="39" xfId="0" applyNumberFormat="1" applyFont="1" applyFill="1" applyBorder="1" applyAlignment="1">
      <alignment horizontal="center"/>
    </xf>
    <xf numFmtId="3" fontId="79" fillId="0" borderId="65" xfId="0" applyNumberFormat="1" applyFont="1" applyFill="1" applyBorder="1" applyAlignment="1">
      <alignment horizontal="center"/>
    </xf>
    <xf numFmtId="3" fontId="79" fillId="0" borderId="67" xfId="0" applyNumberFormat="1" applyFont="1" applyFill="1" applyBorder="1" applyAlignment="1">
      <alignment horizontal="center"/>
    </xf>
    <xf numFmtId="3" fontId="79" fillId="0" borderId="39" xfId="0" applyNumberFormat="1" applyFont="1" applyFill="1" applyBorder="1" applyAlignment="1">
      <alignment horizontal="center" vertical="center"/>
    </xf>
    <xf numFmtId="3" fontId="79" fillId="0" borderId="20" xfId="0" applyNumberFormat="1" applyFont="1" applyFill="1" applyBorder="1" applyAlignment="1">
      <alignment horizontal="center" vertical="center"/>
    </xf>
    <xf numFmtId="3" fontId="79" fillId="0" borderId="65" xfId="0" applyNumberFormat="1" applyFont="1" applyFill="1" applyBorder="1" applyAlignment="1">
      <alignment horizontal="center" vertical="center"/>
    </xf>
    <xf numFmtId="3" fontId="79" fillId="0" borderId="23" xfId="0" applyNumberFormat="1" applyFont="1" applyFill="1" applyBorder="1" applyAlignment="1">
      <alignment horizontal="center"/>
    </xf>
    <xf numFmtId="3" fontId="79" fillId="0" borderId="26" xfId="0" applyNumberFormat="1" applyFont="1" applyFill="1" applyBorder="1" applyAlignment="1">
      <alignment horizontal="center"/>
    </xf>
    <xf numFmtId="3" fontId="49" fillId="0" borderId="0" xfId="0" applyNumberFormat="1" applyFont="1" applyAlignment="1">
      <alignment horizontal="center"/>
    </xf>
    <xf numFmtId="3" fontId="79" fillId="0" borderId="23" xfId="0" applyNumberFormat="1" applyFont="1" applyFill="1" applyBorder="1" applyAlignment="1">
      <alignment horizontal="center" vertical="center"/>
    </xf>
    <xf numFmtId="3" fontId="57" fillId="0" borderId="39" xfId="0" applyNumberFormat="1" applyFont="1" applyFill="1" applyBorder="1" applyAlignment="1">
      <alignment horizontal="center"/>
    </xf>
    <xf numFmtId="3" fontId="20" fillId="0" borderId="44" xfId="0" applyNumberFormat="1" applyFont="1" applyBorder="1" applyAlignment="1">
      <alignment horizontal="center"/>
    </xf>
    <xf numFmtId="3" fontId="20" fillId="0" borderId="70" xfId="0" applyNumberFormat="1" applyFont="1" applyFill="1" applyBorder="1" applyAlignment="1">
      <alignment/>
    </xf>
    <xf numFmtId="3" fontId="20" fillId="0" borderId="71" xfId="0" applyNumberFormat="1" applyFont="1" applyFill="1" applyBorder="1" applyAlignment="1">
      <alignment/>
    </xf>
    <xf numFmtId="3" fontId="20" fillId="0" borderId="7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0" fontId="75" fillId="63" borderId="56" xfId="0" applyFont="1" applyFill="1" applyBorder="1" applyAlignment="1">
      <alignment horizontal="center" vertical="center" wrapText="1"/>
    </xf>
    <xf numFmtId="3" fontId="20" fillId="0" borderId="5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33" xfId="0" applyNumberFormat="1" applyFont="1" applyFill="1" applyBorder="1" applyAlignment="1">
      <alignment horizontal="center"/>
    </xf>
    <xf numFmtId="0" fontId="65" fillId="0" borderId="61" xfId="0" applyFont="1" applyFill="1" applyBorder="1" applyAlignment="1">
      <alignment/>
    </xf>
    <xf numFmtId="3" fontId="20" fillId="0" borderId="41" xfId="0" applyNumberFormat="1" applyFont="1" applyBorder="1" applyAlignment="1">
      <alignment/>
    </xf>
    <xf numFmtId="0" fontId="77" fillId="0" borderId="0" xfId="0" applyFont="1" applyFill="1" applyAlignment="1">
      <alignment/>
    </xf>
    <xf numFmtId="3" fontId="80" fillId="0" borderId="54" xfId="0" applyNumberFormat="1" applyFont="1" applyFill="1" applyBorder="1" applyAlignment="1">
      <alignment/>
    </xf>
    <xf numFmtId="3" fontId="80" fillId="0" borderId="49" xfId="0" applyNumberFormat="1" applyFont="1" applyFill="1" applyBorder="1" applyAlignment="1">
      <alignment/>
    </xf>
    <xf numFmtId="3" fontId="80" fillId="0" borderId="56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21" fillId="0" borderId="36" xfId="0" applyNumberFormat="1" applyFont="1" applyFill="1" applyBorder="1" applyAlignment="1">
      <alignment horizontal="center"/>
    </xf>
    <xf numFmtId="0" fontId="75" fillId="63" borderId="7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41" fillId="6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21" fillId="0" borderId="36" xfId="0" applyNumberFormat="1" applyFont="1" applyFill="1" applyBorder="1" applyAlignment="1">
      <alignment horizontal="center"/>
    </xf>
    <xf numFmtId="0" fontId="2" fillId="63" borderId="28" xfId="0" applyFont="1" applyFill="1" applyBorder="1" applyAlignment="1">
      <alignment horizontal="center" vertical="center" wrapText="1"/>
    </xf>
    <xf numFmtId="0" fontId="2" fillId="63" borderId="46" xfId="0" applyFont="1" applyFill="1" applyBorder="1" applyAlignment="1">
      <alignment horizontal="center" vertical="center" wrapText="1"/>
    </xf>
    <xf numFmtId="0" fontId="2" fillId="63" borderId="43" xfId="0" applyFont="1" applyFill="1" applyBorder="1" applyAlignment="1">
      <alignment horizontal="center" vertical="center" wrapText="1"/>
    </xf>
    <xf numFmtId="0" fontId="2" fillId="63" borderId="44" xfId="0" applyFont="1" applyFill="1" applyBorder="1" applyAlignment="1">
      <alignment horizontal="center" vertical="center" wrapText="1"/>
    </xf>
    <xf numFmtId="0" fontId="2" fillId="63" borderId="31" xfId="0" applyFont="1" applyFill="1" applyBorder="1" applyAlignment="1">
      <alignment horizontal="center" vertical="center" wrapText="1"/>
    </xf>
    <xf numFmtId="3" fontId="81" fillId="0" borderId="32" xfId="0" applyNumberFormat="1" applyFont="1" applyFill="1" applyBorder="1" applyAlignment="1">
      <alignment horizontal="center"/>
    </xf>
    <xf numFmtId="3" fontId="81" fillId="0" borderId="37" xfId="0" applyNumberFormat="1" applyFont="1" applyFill="1" applyBorder="1" applyAlignment="1">
      <alignment horizontal="center"/>
    </xf>
    <xf numFmtId="3" fontId="81" fillId="0" borderId="38" xfId="0" applyNumberFormat="1" applyFont="1" applyFill="1" applyBorder="1" applyAlignment="1">
      <alignment horizontal="center"/>
    </xf>
    <xf numFmtId="0" fontId="81" fillId="0" borderId="38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3" fontId="83" fillId="0" borderId="36" xfId="0" applyNumberFormat="1" applyFont="1" applyFill="1" applyBorder="1" applyAlignment="1">
      <alignment horizontal="center"/>
    </xf>
    <xf numFmtId="0" fontId="68" fillId="64" borderId="28" xfId="0" applyFont="1" applyFill="1" applyBorder="1" applyAlignment="1">
      <alignment horizontal="center" vertical="center" wrapText="1"/>
    </xf>
    <xf numFmtId="0" fontId="68" fillId="64" borderId="29" xfId="0" applyFont="1" applyFill="1" applyBorder="1" applyAlignment="1">
      <alignment horizontal="center" vertical="top"/>
    </xf>
    <xf numFmtId="0" fontId="84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77" fillId="0" borderId="0" xfId="0" applyFont="1" applyFill="1" applyAlignment="1">
      <alignment horizontal="center"/>
    </xf>
    <xf numFmtId="3" fontId="57" fillId="0" borderId="21" xfId="0" applyNumberFormat="1" applyFont="1" applyFill="1" applyBorder="1" applyAlignment="1">
      <alignment/>
    </xf>
    <xf numFmtId="0" fontId="68" fillId="62" borderId="75" xfId="0" applyFont="1" applyFill="1" applyBorder="1" applyAlignment="1">
      <alignment horizontal="center" vertical="center" wrapText="1"/>
    </xf>
    <xf numFmtId="0" fontId="68" fillId="62" borderId="76" xfId="0" applyFont="1" applyFill="1" applyBorder="1" applyAlignment="1">
      <alignment horizontal="center" vertical="center" wrapText="1"/>
    </xf>
    <xf numFmtId="0" fontId="75" fillId="62" borderId="77" xfId="0" applyFont="1" applyFill="1" applyBorder="1" applyAlignment="1">
      <alignment horizontal="center" vertical="center" wrapText="1"/>
    </xf>
    <xf numFmtId="0" fontId="75" fillId="62" borderId="70" xfId="0" applyFont="1" applyFill="1" applyBorder="1" applyAlignment="1">
      <alignment horizontal="center" vertical="center" wrapText="1"/>
    </xf>
    <xf numFmtId="0" fontId="75" fillId="62" borderId="62" xfId="0" applyFont="1" applyFill="1" applyBorder="1" applyAlignment="1">
      <alignment horizontal="center" vertical="center" wrapText="1"/>
    </xf>
    <xf numFmtId="0" fontId="75" fillId="62" borderId="70" xfId="0" applyFont="1" applyFill="1" applyBorder="1" applyAlignment="1">
      <alignment horizontal="center" vertical="center" wrapText="1"/>
    </xf>
    <xf numFmtId="0" fontId="75" fillId="62" borderId="76" xfId="0" applyFont="1" applyFill="1" applyBorder="1" applyAlignment="1">
      <alignment horizontal="center" vertical="center" wrapText="1"/>
    </xf>
    <xf numFmtId="0" fontId="75" fillId="62" borderId="75" xfId="0" applyFont="1" applyFill="1" applyBorder="1" applyAlignment="1">
      <alignment horizontal="center" vertical="center" wrapText="1"/>
    </xf>
    <xf numFmtId="0" fontId="75" fillId="62" borderId="77" xfId="0" applyFont="1" applyFill="1" applyBorder="1" applyAlignment="1">
      <alignment horizontal="center" vertical="center" wrapText="1"/>
    </xf>
    <xf numFmtId="0" fontId="75" fillId="62" borderId="62" xfId="0" applyFont="1" applyFill="1" applyBorder="1" applyAlignment="1">
      <alignment horizontal="center" vertical="center" wrapText="1"/>
    </xf>
    <xf numFmtId="0" fontId="75" fillId="62" borderId="75" xfId="0" applyFont="1" applyFill="1" applyBorder="1" applyAlignment="1">
      <alignment horizontal="center" vertical="center" wrapText="1"/>
    </xf>
    <xf numFmtId="0" fontId="75" fillId="62" borderId="76" xfId="0" applyFont="1" applyFill="1" applyBorder="1" applyAlignment="1">
      <alignment horizontal="center" vertical="center" wrapText="1"/>
    </xf>
    <xf numFmtId="0" fontId="2" fillId="63" borderId="34" xfId="0" applyFont="1" applyFill="1" applyBorder="1" applyAlignment="1">
      <alignment horizontal="center" vertical="center" wrapText="1"/>
    </xf>
    <xf numFmtId="0" fontId="2" fillId="63" borderId="78" xfId="0" applyFont="1" applyFill="1" applyBorder="1" applyAlignment="1">
      <alignment horizontal="center" vertical="center" wrapText="1"/>
    </xf>
    <xf numFmtId="0" fontId="75" fillId="62" borderId="79" xfId="0" applyFont="1" applyFill="1" applyBorder="1" applyAlignment="1">
      <alignment horizontal="center" vertical="center" wrapText="1"/>
    </xf>
    <xf numFmtId="0" fontId="75" fillId="62" borderId="61" xfId="0" applyFont="1" applyFill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center"/>
    </xf>
    <xf numFmtId="3" fontId="24" fillId="0" borderId="61" xfId="0" applyNumberFormat="1" applyFont="1" applyBorder="1" applyAlignment="1">
      <alignment horizontal="center"/>
    </xf>
    <xf numFmtId="3" fontId="65" fillId="0" borderId="60" xfId="0" applyNumberFormat="1" applyFont="1" applyBorder="1" applyAlignment="1">
      <alignment horizontal="center"/>
    </xf>
    <xf numFmtId="3" fontId="65" fillId="0" borderId="80" xfId="0" applyNumberFormat="1" applyFont="1" applyBorder="1" applyAlignment="1">
      <alignment horizontal="center"/>
    </xf>
    <xf numFmtId="3" fontId="65" fillId="0" borderId="61" xfId="0" applyNumberFormat="1" applyFont="1" applyBorder="1" applyAlignment="1">
      <alignment horizontal="center"/>
    </xf>
    <xf numFmtId="3" fontId="65" fillId="0" borderId="60" xfId="0" applyNumberFormat="1" applyFont="1" applyBorder="1" applyAlignment="1">
      <alignment horizontal="center"/>
    </xf>
    <xf numFmtId="3" fontId="65" fillId="0" borderId="61" xfId="0" applyNumberFormat="1" applyFont="1" applyBorder="1" applyAlignment="1">
      <alignment horizontal="center"/>
    </xf>
  </cellXfs>
  <cellStyles count="101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Euro" xfId="72"/>
    <cellStyle name="Excel Built-in Normal" xfId="73"/>
    <cellStyle name="Insatisfaisant" xfId="74"/>
    <cellStyle name="Insatisfaisant 2" xfId="75"/>
    <cellStyle name="Hyperlink" xfId="76"/>
    <cellStyle name="Followed Hyperlink" xfId="77"/>
    <cellStyle name="Comma" xfId="78"/>
    <cellStyle name="Comma [0]" xfId="79"/>
    <cellStyle name="Milliers 2" xfId="80"/>
    <cellStyle name="Currency" xfId="81"/>
    <cellStyle name="Currency [0]" xfId="82"/>
    <cellStyle name="Neutre" xfId="83"/>
    <cellStyle name="Neutre 2" xfId="84"/>
    <cellStyle name="Normal 11" xfId="85"/>
    <cellStyle name="Normal 2" xfId="86"/>
    <cellStyle name="Normal 2 2" xfId="87"/>
    <cellStyle name="Normal 3" xfId="88"/>
    <cellStyle name="Normal 3 2" xfId="89"/>
    <cellStyle name="Normal 4" xfId="90"/>
    <cellStyle name="Note" xfId="91"/>
    <cellStyle name="Percent" xfId="92"/>
    <cellStyle name="Pourcentage 2" xfId="93"/>
    <cellStyle name="Pourcentage 2 2" xfId="94"/>
    <cellStyle name="Pourcentage 3" xfId="95"/>
    <cellStyle name="Satisfaisant" xfId="96"/>
    <cellStyle name="Satisfaisant 2" xfId="97"/>
    <cellStyle name="Sortie" xfId="98"/>
    <cellStyle name="Sortie 2" xfId="99"/>
    <cellStyle name="Texte explicatif" xfId="100"/>
    <cellStyle name="Texte explicatif 2" xfId="101"/>
    <cellStyle name="Titre" xfId="102"/>
    <cellStyle name="Titre 1" xfId="103"/>
    <cellStyle name="Titre 1 2" xfId="104"/>
    <cellStyle name="Titre 2" xfId="105"/>
    <cellStyle name="Titre 2 2" xfId="106"/>
    <cellStyle name="Titre 3" xfId="107"/>
    <cellStyle name="Titre 3 2" xfId="108"/>
    <cellStyle name="Titre 4" xfId="109"/>
    <cellStyle name="Titre 4 2" xfId="110"/>
    <cellStyle name="Total" xfId="111"/>
    <cellStyle name="Total 2" xfId="112"/>
    <cellStyle name="Vérification" xfId="113"/>
    <cellStyle name="Vérification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40"/>
  <sheetViews>
    <sheetView showGridLines="0" tabSelected="1" zoomScale="130" zoomScaleNormal="130" zoomScalePageLayoutView="0" workbookViewId="0" topLeftCell="A1">
      <pane xSplit="2" ySplit="2" topLeftCell="B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Y3" sqref="BY3"/>
    </sheetView>
  </sheetViews>
  <sheetFormatPr defaultColWidth="11.421875" defaultRowHeight="15"/>
  <cols>
    <col min="1" max="1" width="9.421875" style="0" customWidth="1"/>
    <col min="2" max="2" width="27.28125" style="0" customWidth="1"/>
    <col min="3" max="3" width="12.7109375" style="58" customWidth="1"/>
    <col min="4" max="5" width="10.8515625" style="58" customWidth="1"/>
    <col min="6" max="6" width="12.28125" style="448" customWidth="1"/>
    <col min="7" max="7" width="2.7109375" style="58" customWidth="1"/>
    <col min="8" max="10" width="10.8515625" style="0" customWidth="1"/>
    <col min="11" max="11" width="12.7109375" style="0" customWidth="1"/>
    <col min="12" max="12" width="3.00390625" style="0" customWidth="1"/>
    <col min="13" max="24" width="10.8515625" style="0" customWidth="1"/>
    <col min="25" max="25" width="2.7109375" style="0" customWidth="1"/>
    <col min="26" max="26" width="8.140625" style="142" customWidth="1"/>
    <col min="27" max="27" width="8.140625" style="207" customWidth="1"/>
    <col min="28" max="28" width="8.140625" style="142" customWidth="1"/>
    <col min="29" max="29" width="8.140625" style="209" customWidth="1"/>
    <col min="30" max="34" width="8.140625" style="207" customWidth="1"/>
    <col min="35" max="35" width="8.140625" style="431" customWidth="1"/>
    <col min="36" max="37" width="8.140625" style="211" customWidth="1"/>
    <col min="38" max="43" width="8.140625" style="142" customWidth="1"/>
    <col min="44" max="45" width="8.140625" style="207" customWidth="1"/>
    <col min="46" max="47" width="8.140625" style="142" customWidth="1"/>
    <col min="48" max="52" width="8.140625" style="211" customWidth="1"/>
    <col min="53" max="53" width="8.140625" style="142" customWidth="1"/>
    <col min="54" max="54" width="9.140625" style="142" customWidth="1"/>
    <col min="55" max="56" width="9.140625" style="224" customWidth="1"/>
    <col min="57" max="58" width="9.140625" style="229" customWidth="1"/>
    <col min="59" max="59" width="9.140625" style="411" customWidth="1"/>
    <col min="60" max="60" width="9.140625" style="223" customWidth="1"/>
    <col min="61" max="61" width="9.140625" style="225" customWidth="1"/>
    <col min="62" max="62" width="9.140625" style="0" customWidth="1"/>
    <col min="63" max="63" width="9.140625" style="58" customWidth="1"/>
    <col min="64" max="69" width="9.140625" style="0" customWidth="1"/>
    <col min="70" max="71" width="9.140625" style="154" customWidth="1"/>
    <col min="72" max="72" width="9.140625" style="0" customWidth="1"/>
    <col min="73" max="73" width="9.140625" style="436" customWidth="1"/>
    <col min="74" max="74" width="1.7109375" style="0" customWidth="1"/>
    <col min="75" max="75" width="9.140625" style="0" customWidth="1"/>
    <col min="76" max="76" width="1.7109375" style="0" customWidth="1"/>
    <col min="78" max="78" width="1.28515625" style="58" customWidth="1"/>
    <col min="79" max="79" width="11.7109375" style="58" customWidth="1"/>
    <col min="80" max="80" width="2.00390625" style="0" customWidth="1"/>
    <col min="81" max="81" width="10.8515625" style="0" customWidth="1"/>
    <col min="82" max="82" width="2.00390625" style="58" customWidth="1"/>
    <col min="83" max="83" width="10.421875" style="443" bestFit="1" customWidth="1"/>
    <col min="84" max="84" width="2.00390625" style="443" customWidth="1"/>
    <col min="85" max="85" width="10.8515625" style="79" customWidth="1"/>
    <col min="86" max="86" width="2.00390625" style="58" customWidth="1"/>
    <col min="87" max="87" width="10.8515625" style="0" customWidth="1"/>
    <col min="88" max="88" width="2.00390625" style="58" customWidth="1"/>
    <col min="89" max="89" width="10.8515625" style="0" customWidth="1"/>
    <col min="90" max="90" width="2.00390625" style="133" customWidth="1"/>
    <col min="91" max="91" width="10.421875" style="107" customWidth="1"/>
    <col min="92" max="92" width="1.421875" style="0" customWidth="1"/>
    <col min="93" max="93" width="10.421875" style="107" customWidth="1"/>
    <col min="94" max="94" width="1.421875" style="0" customWidth="1"/>
    <col min="95" max="95" width="10.8515625" style="0" customWidth="1"/>
    <col min="96" max="96" width="1.7109375" style="0" customWidth="1"/>
    <col min="97" max="97" width="10.8515625" style="0" customWidth="1"/>
  </cols>
  <sheetData>
    <row r="1" spans="26:73" ht="15.75" thickBot="1">
      <c r="Z1" s="470" t="s">
        <v>145</v>
      </c>
      <c r="AA1" s="223" t="s">
        <v>145</v>
      </c>
      <c r="AB1" s="223" t="s">
        <v>145</v>
      </c>
      <c r="AC1" s="223" t="s">
        <v>145</v>
      </c>
      <c r="AD1" s="223" t="s">
        <v>145</v>
      </c>
      <c r="AE1" s="223" t="s">
        <v>145</v>
      </c>
      <c r="AF1" s="223" t="s">
        <v>145</v>
      </c>
      <c r="AG1" s="223" t="s">
        <v>145</v>
      </c>
      <c r="AJ1" s="471" t="s">
        <v>145</v>
      </c>
      <c r="AK1" s="471" t="s">
        <v>145</v>
      </c>
      <c r="AL1" s="471" t="s">
        <v>145</v>
      </c>
      <c r="AM1" s="471" t="s">
        <v>145</v>
      </c>
      <c r="AN1" s="471" t="s">
        <v>145</v>
      </c>
      <c r="AO1" s="471" t="s">
        <v>145</v>
      </c>
      <c r="AP1" s="471" t="s">
        <v>145</v>
      </c>
      <c r="AQ1" s="471" t="s">
        <v>145</v>
      </c>
      <c r="AR1" s="471" t="s">
        <v>145</v>
      </c>
      <c r="AS1" s="471" t="s">
        <v>145</v>
      </c>
      <c r="AT1" s="471" t="s">
        <v>145</v>
      </c>
      <c r="AU1" s="471" t="s">
        <v>145</v>
      </c>
      <c r="AV1" s="471" t="s">
        <v>145</v>
      </c>
      <c r="AW1" s="471" t="s">
        <v>145</v>
      </c>
      <c r="AX1" s="471" t="s">
        <v>145</v>
      </c>
      <c r="AY1" s="471" t="s">
        <v>145</v>
      </c>
      <c r="AZ1" s="471" t="s">
        <v>145</v>
      </c>
      <c r="BA1" s="225" t="s">
        <v>145</v>
      </c>
      <c r="BB1" s="225" t="s">
        <v>145</v>
      </c>
      <c r="BC1" s="225" t="s">
        <v>145</v>
      </c>
      <c r="BD1" s="225" t="s">
        <v>145</v>
      </c>
      <c r="BE1" s="225" t="s">
        <v>145</v>
      </c>
      <c r="BF1" s="225" t="s">
        <v>145</v>
      </c>
      <c r="BG1" s="225" t="s">
        <v>145</v>
      </c>
      <c r="BH1" s="225" t="s">
        <v>145</v>
      </c>
      <c r="BI1" s="225" t="s">
        <v>145</v>
      </c>
      <c r="BJ1" s="229" t="s">
        <v>145</v>
      </c>
      <c r="BK1" s="472" t="s">
        <v>145</v>
      </c>
      <c r="BL1" s="472" t="s">
        <v>145</v>
      </c>
      <c r="BM1" s="472" t="s">
        <v>145</v>
      </c>
      <c r="BN1" s="472" t="s">
        <v>145</v>
      </c>
      <c r="BO1" s="472" t="s">
        <v>145</v>
      </c>
      <c r="BP1" s="472" t="s">
        <v>145</v>
      </c>
      <c r="BQ1" s="472" t="s">
        <v>145</v>
      </c>
      <c r="BR1" s="472" t="s">
        <v>145</v>
      </c>
      <c r="BS1" s="472" t="s">
        <v>145</v>
      </c>
      <c r="BT1" s="472" t="s">
        <v>147</v>
      </c>
      <c r="BU1" s="436" t="s">
        <v>147</v>
      </c>
    </row>
    <row r="2" spans="1:97" ht="60" customHeight="1" thickBot="1">
      <c r="A2" s="22" t="s">
        <v>79</v>
      </c>
      <c r="B2" s="104" t="s">
        <v>80</v>
      </c>
      <c r="C2" s="486" t="s">
        <v>139</v>
      </c>
      <c r="D2" s="486"/>
      <c r="E2" s="487"/>
      <c r="F2" s="457" t="s">
        <v>140</v>
      </c>
      <c r="G2" s="59"/>
      <c r="H2" s="486" t="s">
        <v>134</v>
      </c>
      <c r="I2" s="486"/>
      <c r="J2" s="487"/>
      <c r="K2" s="22" t="s">
        <v>135</v>
      </c>
      <c r="L2" s="1"/>
      <c r="M2" s="22" t="s">
        <v>0</v>
      </c>
      <c r="N2" s="22" t="s">
        <v>1</v>
      </c>
      <c r="O2" s="22" t="s">
        <v>2</v>
      </c>
      <c r="P2" s="22" t="s">
        <v>3</v>
      </c>
      <c r="Q2" s="22" t="s">
        <v>4</v>
      </c>
      <c r="R2" s="22" t="s">
        <v>5</v>
      </c>
      <c r="S2" s="22" t="s">
        <v>6</v>
      </c>
      <c r="T2" s="22" t="s">
        <v>7</v>
      </c>
      <c r="U2" s="22" t="s">
        <v>8</v>
      </c>
      <c r="V2" s="24" t="s">
        <v>9</v>
      </c>
      <c r="W2" s="33" t="s">
        <v>10</v>
      </c>
      <c r="X2" s="24" t="s">
        <v>11</v>
      </c>
      <c r="Z2" s="488" t="s">
        <v>86</v>
      </c>
      <c r="AA2" s="489"/>
      <c r="AB2" s="477" t="s">
        <v>85</v>
      </c>
      <c r="AC2" s="485"/>
      <c r="AD2" s="484" t="s">
        <v>71</v>
      </c>
      <c r="AE2" s="485"/>
      <c r="AF2" s="481" t="s">
        <v>72</v>
      </c>
      <c r="AG2" s="480"/>
      <c r="AH2" s="481" t="s">
        <v>73</v>
      </c>
      <c r="AI2" s="480"/>
      <c r="AJ2" s="481" t="s">
        <v>74</v>
      </c>
      <c r="AK2" s="480"/>
      <c r="AL2" s="484" t="s">
        <v>75</v>
      </c>
      <c r="AM2" s="485"/>
      <c r="AN2" s="484" t="s">
        <v>81</v>
      </c>
      <c r="AO2" s="485"/>
      <c r="AP2" s="484" t="s">
        <v>99</v>
      </c>
      <c r="AQ2" s="485"/>
      <c r="AR2" s="484" t="s">
        <v>100</v>
      </c>
      <c r="AS2" s="477"/>
      <c r="AT2" s="476" t="s">
        <v>101</v>
      </c>
      <c r="AU2" s="477"/>
      <c r="AV2" s="482" t="s">
        <v>125</v>
      </c>
      <c r="AW2" s="479"/>
      <c r="AX2" s="479"/>
      <c r="AY2" s="479"/>
      <c r="AZ2" s="483"/>
      <c r="BA2" s="477" t="s">
        <v>102</v>
      </c>
      <c r="BB2" s="478"/>
      <c r="BC2" s="482" t="s">
        <v>123</v>
      </c>
      <c r="BD2" s="479"/>
      <c r="BE2" s="479"/>
      <c r="BF2" s="479"/>
      <c r="BG2" s="479"/>
      <c r="BH2" s="479"/>
      <c r="BI2" s="483"/>
      <c r="BJ2" s="479" t="s">
        <v>103</v>
      </c>
      <c r="BK2" s="480"/>
      <c r="BL2" s="481" t="s">
        <v>104</v>
      </c>
      <c r="BM2" s="480"/>
      <c r="BN2" s="481" t="s">
        <v>105</v>
      </c>
      <c r="BO2" s="480"/>
      <c r="BP2" s="481" t="s">
        <v>106</v>
      </c>
      <c r="BQ2" s="480"/>
      <c r="BR2" s="484" t="s">
        <v>107</v>
      </c>
      <c r="BS2" s="485"/>
      <c r="BT2" s="474" t="s">
        <v>108</v>
      </c>
      <c r="BU2" s="475"/>
      <c r="BV2" s="11"/>
      <c r="BW2" s="12" t="s">
        <v>76</v>
      </c>
      <c r="BX2" s="11"/>
      <c r="BY2" s="13" t="s">
        <v>141</v>
      </c>
      <c r="CA2" s="468" t="s">
        <v>142</v>
      </c>
      <c r="CC2" s="55" t="s">
        <v>143</v>
      </c>
      <c r="CD2" s="132"/>
      <c r="CE2" s="146" t="s">
        <v>133</v>
      </c>
      <c r="CF2" s="132"/>
      <c r="CG2" s="146" t="s">
        <v>126</v>
      </c>
      <c r="CH2" s="132"/>
      <c r="CI2" s="146" t="s">
        <v>127</v>
      </c>
      <c r="CJ2" s="132"/>
      <c r="CK2" s="146" t="s">
        <v>122</v>
      </c>
      <c r="CL2" s="132"/>
      <c r="CM2" s="137" t="s">
        <v>115</v>
      </c>
      <c r="CO2" s="109" t="s">
        <v>109</v>
      </c>
      <c r="CQ2" s="72" t="s">
        <v>98</v>
      </c>
      <c r="CS2" s="72" t="s">
        <v>110</v>
      </c>
    </row>
    <row r="3" spans="1:97" ht="189.75" thickBot="1">
      <c r="A3" s="32"/>
      <c r="B3" s="105"/>
      <c r="C3" s="458" t="s">
        <v>82</v>
      </c>
      <c r="D3" s="459" t="s">
        <v>83</v>
      </c>
      <c r="E3" s="460" t="s">
        <v>84</v>
      </c>
      <c r="F3" s="461"/>
      <c r="G3" s="59"/>
      <c r="H3" s="139" t="s">
        <v>82</v>
      </c>
      <c r="I3" s="140" t="s">
        <v>83</v>
      </c>
      <c r="J3" s="141" t="s">
        <v>84</v>
      </c>
      <c r="K3" s="32"/>
      <c r="L3" s="1"/>
      <c r="M3" s="23"/>
      <c r="N3" s="23"/>
      <c r="O3" s="23"/>
      <c r="P3" s="23"/>
      <c r="Q3" s="23"/>
      <c r="R3" s="23"/>
      <c r="S3" s="23"/>
      <c r="T3" s="23"/>
      <c r="U3" s="23"/>
      <c r="V3" s="25"/>
      <c r="W3" s="21"/>
      <c r="X3" s="25"/>
      <c r="Z3" s="156" t="s">
        <v>78</v>
      </c>
      <c r="AA3" s="391" t="s">
        <v>146</v>
      </c>
      <c r="AB3" s="157" t="s">
        <v>78</v>
      </c>
      <c r="AC3" s="392" t="s">
        <v>113</v>
      </c>
      <c r="AD3" s="393" t="s">
        <v>92</v>
      </c>
      <c r="AE3" s="392" t="s">
        <v>91</v>
      </c>
      <c r="AF3" s="158" t="s">
        <v>119</v>
      </c>
      <c r="AG3" s="159" t="s">
        <v>120</v>
      </c>
      <c r="AH3" s="157" t="s">
        <v>78</v>
      </c>
      <c r="AI3" s="429" t="s">
        <v>77</v>
      </c>
      <c r="AJ3" s="160" t="s">
        <v>78</v>
      </c>
      <c r="AK3" s="161" t="s">
        <v>132</v>
      </c>
      <c r="AL3" s="158" t="s">
        <v>78</v>
      </c>
      <c r="AM3" s="159" t="s">
        <v>77</v>
      </c>
      <c r="AN3" s="158" t="s">
        <v>78</v>
      </c>
      <c r="AO3" s="159" t="s">
        <v>77</v>
      </c>
      <c r="AP3" s="158" t="s">
        <v>78</v>
      </c>
      <c r="AQ3" s="159" t="s">
        <v>77</v>
      </c>
      <c r="AR3" s="158" t="s">
        <v>78</v>
      </c>
      <c r="AS3" s="165" t="s">
        <v>96</v>
      </c>
      <c r="AT3" s="162" t="s">
        <v>78</v>
      </c>
      <c r="AU3" s="165" t="s">
        <v>77</v>
      </c>
      <c r="AV3" s="394" t="s">
        <v>88</v>
      </c>
      <c r="AW3" s="395" t="s">
        <v>89</v>
      </c>
      <c r="AX3" s="395" t="s">
        <v>97</v>
      </c>
      <c r="AY3" s="395" t="s">
        <v>90</v>
      </c>
      <c r="AZ3" s="396" t="s">
        <v>129</v>
      </c>
      <c r="BA3" s="158" t="s">
        <v>78</v>
      </c>
      <c r="BB3" s="159" t="s">
        <v>77</v>
      </c>
      <c r="BC3" s="397" t="s">
        <v>94</v>
      </c>
      <c r="BD3" s="398" t="s">
        <v>111</v>
      </c>
      <c r="BE3" s="399" t="s">
        <v>116</v>
      </c>
      <c r="BF3" s="400" t="s">
        <v>121</v>
      </c>
      <c r="BG3" s="399" t="s">
        <v>136</v>
      </c>
      <c r="BH3" s="400" t="s">
        <v>128</v>
      </c>
      <c r="BI3" s="401" t="s">
        <v>95</v>
      </c>
      <c r="BJ3" s="222" t="s">
        <v>78</v>
      </c>
      <c r="BK3" s="429" t="s">
        <v>137</v>
      </c>
      <c r="BL3" s="161" t="s">
        <v>78</v>
      </c>
      <c r="BM3" s="163" t="s">
        <v>77</v>
      </c>
      <c r="BN3" s="164" t="s">
        <v>78</v>
      </c>
      <c r="BO3" s="161" t="s">
        <v>77</v>
      </c>
      <c r="BP3" s="160" t="s">
        <v>78</v>
      </c>
      <c r="BQ3" s="161" t="s">
        <v>77</v>
      </c>
      <c r="BR3" s="158" t="s">
        <v>78</v>
      </c>
      <c r="BS3" s="165" t="s">
        <v>114</v>
      </c>
      <c r="BT3" s="118" t="s">
        <v>78</v>
      </c>
      <c r="BU3" s="442" t="s">
        <v>93</v>
      </c>
      <c r="BV3" s="11"/>
      <c r="BW3" s="402">
        <v>2021</v>
      </c>
      <c r="BX3" s="11"/>
      <c r="BY3" s="14"/>
      <c r="CA3" s="469" t="s">
        <v>144</v>
      </c>
      <c r="CC3" s="56" t="s">
        <v>124</v>
      </c>
      <c r="CD3" s="132"/>
      <c r="CE3" s="444"/>
      <c r="CF3" s="445"/>
      <c r="CG3" s="444"/>
      <c r="CH3" s="132"/>
      <c r="CI3" s="146"/>
      <c r="CJ3" s="132"/>
      <c r="CK3" s="146"/>
      <c r="CL3" s="132"/>
      <c r="CM3" s="138"/>
      <c r="CO3" s="108"/>
      <c r="CQ3" s="73"/>
      <c r="CS3" s="73"/>
    </row>
    <row r="4" spans="1:97" ht="15.75">
      <c r="A4" s="2" t="s">
        <v>12</v>
      </c>
      <c r="B4" s="43" t="s">
        <v>13</v>
      </c>
      <c r="C4" s="449">
        <v>78</v>
      </c>
      <c r="D4" s="449">
        <v>2</v>
      </c>
      <c r="E4" s="450">
        <f aca="true" t="shared" si="0" ref="E4:E57">SUM(C4:D4)</f>
        <v>80</v>
      </c>
      <c r="F4" s="451">
        <v>123</v>
      </c>
      <c r="G4"/>
      <c r="H4" s="405">
        <v>77</v>
      </c>
      <c r="I4" s="405">
        <v>2</v>
      </c>
      <c r="J4" s="406">
        <f aca="true" t="shared" si="1" ref="J4:J57">SUM(H4:I4)</f>
        <v>79</v>
      </c>
      <c r="K4" s="407">
        <v>120</v>
      </c>
      <c r="L4" s="30"/>
      <c r="M4" s="34">
        <v>171.25</v>
      </c>
      <c r="N4" s="3">
        <v>0</v>
      </c>
      <c r="O4" s="3">
        <v>0</v>
      </c>
      <c r="P4" s="3">
        <v>9452.144800000002</v>
      </c>
      <c r="Q4" s="3">
        <v>97</v>
      </c>
      <c r="R4" s="3">
        <v>0</v>
      </c>
      <c r="S4" s="3">
        <v>291</v>
      </c>
      <c r="T4" s="3">
        <v>606.8129951000001</v>
      </c>
      <c r="U4" s="3">
        <v>13</v>
      </c>
      <c r="V4" s="3">
        <f>SUM(M4:U4)</f>
        <v>10631.207795100003</v>
      </c>
      <c r="W4" s="3">
        <v>-7993.973600000007</v>
      </c>
      <c r="X4" s="4">
        <f>W4+V4</f>
        <v>2637.234195099996</v>
      </c>
      <c r="Z4" s="236"/>
      <c r="AA4" s="237"/>
      <c r="AB4" s="236"/>
      <c r="AC4" s="238">
        <v>892</v>
      </c>
      <c r="AD4" s="236"/>
      <c r="AE4" s="237">
        <f>1.54*E4-1</f>
        <v>122.2</v>
      </c>
      <c r="AF4" s="239"/>
      <c r="AG4" s="240"/>
      <c r="AH4" s="236"/>
      <c r="AI4" s="473">
        <f>3*E4</f>
        <v>240</v>
      </c>
      <c r="AJ4" s="241"/>
      <c r="AK4" s="242"/>
      <c r="AL4" s="239"/>
      <c r="AM4" s="240"/>
      <c r="AN4" s="239"/>
      <c r="AO4" s="240"/>
      <c r="AP4" s="239"/>
      <c r="AQ4" s="240"/>
      <c r="AR4" s="239"/>
      <c r="AS4" s="243"/>
      <c r="AT4" s="244"/>
      <c r="AU4" s="243"/>
      <c r="AV4" s="245">
        <f aca="true" t="shared" si="2" ref="AV4:AV10">F4*1</f>
        <v>123</v>
      </c>
      <c r="AW4" s="246"/>
      <c r="AX4" s="247"/>
      <c r="AY4" s="246"/>
      <c r="AZ4" s="231"/>
      <c r="BA4" s="239"/>
      <c r="BB4" s="240"/>
      <c r="BC4" s="248"/>
      <c r="BD4" s="249"/>
      <c r="BE4" s="246"/>
      <c r="BF4" s="251"/>
      <c r="BG4" s="412"/>
      <c r="BH4" s="250"/>
      <c r="BI4" s="252">
        <f>(15000/22331)*E4</f>
        <v>53.736957592584304</v>
      </c>
      <c r="BJ4" s="253"/>
      <c r="BK4" s="363"/>
      <c r="BL4" s="241"/>
      <c r="BM4" s="254"/>
      <c r="BN4" s="255"/>
      <c r="BO4" s="242"/>
      <c r="BP4" s="241"/>
      <c r="BQ4" s="242"/>
      <c r="BR4" s="167"/>
      <c r="BS4" s="172"/>
      <c r="BT4" s="171"/>
      <c r="BU4" s="437"/>
      <c r="BV4" s="46"/>
      <c r="BW4" s="47">
        <f>SUM(Z4:BU4)</f>
        <v>1430.9369575925843</v>
      </c>
      <c r="BX4" s="11"/>
      <c r="BY4" s="70">
        <f aca="true" t="shared" si="3" ref="BY4:BY35">X4-BW4</f>
        <v>1206.2972375074119</v>
      </c>
      <c r="CA4" s="462">
        <v>338</v>
      </c>
      <c r="CB4" s="58"/>
      <c r="CC4" s="94">
        <f>BY4-CA4</f>
        <v>868.2972375074119</v>
      </c>
      <c r="CD4" s="134"/>
      <c r="CE4" s="95">
        <v>337.5089494773192</v>
      </c>
      <c r="CF4" s="446"/>
      <c r="CG4" s="95">
        <v>2163.4437258838316</v>
      </c>
      <c r="CH4" s="134"/>
      <c r="CI4" s="95">
        <v>1586.3491502671006</v>
      </c>
      <c r="CJ4" s="134"/>
      <c r="CK4" s="150">
        <v>1914.1900076741363</v>
      </c>
      <c r="CL4" s="134"/>
      <c r="CM4" s="110">
        <v>2364.7490230952512</v>
      </c>
      <c r="CN4" s="51"/>
      <c r="CO4" s="110">
        <v>2364.1670539374813</v>
      </c>
      <c r="CP4" s="51"/>
      <c r="CQ4" s="74">
        <v>2478.42606935859</v>
      </c>
      <c r="CS4" s="74">
        <v>2071</v>
      </c>
    </row>
    <row r="5" spans="1:97" ht="15" customHeight="1">
      <c r="A5" s="5" t="s">
        <v>12</v>
      </c>
      <c r="B5" s="42" t="s">
        <v>14</v>
      </c>
      <c r="C5" s="65">
        <v>222</v>
      </c>
      <c r="D5" s="65">
        <v>7</v>
      </c>
      <c r="E5" s="65">
        <f t="shared" si="0"/>
        <v>229</v>
      </c>
      <c r="F5" s="452">
        <v>280</v>
      </c>
      <c r="G5"/>
      <c r="H5" s="106">
        <v>221</v>
      </c>
      <c r="I5" s="106">
        <v>7</v>
      </c>
      <c r="J5" s="106">
        <f t="shared" si="1"/>
        <v>228</v>
      </c>
      <c r="K5" s="408">
        <v>277</v>
      </c>
      <c r="L5" s="30"/>
      <c r="M5" s="35">
        <v>1148</v>
      </c>
      <c r="N5" s="6">
        <v>278</v>
      </c>
      <c r="O5" s="6">
        <v>0</v>
      </c>
      <c r="P5" s="6">
        <v>19593.1186</v>
      </c>
      <c r="Q5" s="6">
        <v>544</v>
      </c>
      <c r="R5" s="6">
        <v>0</v>
      </c>
      <c r="S5" s="6">
        <v>955</v>
      </c>
      <c r="T5" s="6">
        <v>1870.7768175</v>
      </c>
      <c r="U5" s="6">
        <v>0</v>
      </c>
      <c r="V5" s="6">
        <f aca="true" t="shared" si="4" ref="V5:V54">SUM(M5:U5)</f>
        <v>24388.895417500004</v>
      </c>
      <c r="W5" s="6">
        <v>-18527.28719999999</v>
      </c>
      <c r="X5" s="7">
        <f aca="true" t="shared" si="5" ref="X5:X55">W5+V5</f>
        <v>5861.608217500012</v>
      </c>
      <c r="Z5" s="244"/>
      <c r="AA5" s="18"/>
      <c r="AB5" s="256"/>
      <c r="AC5" s="257"/>
      <c r="AD5" s="244"/>
      <c r="AE5" s="18">
        <f>1.54*E5-1</f>
        <v>351.66</v>
      </c>
      <c r="AF5" s="239"/>
      <c r="AG5" s="240"/>
      <c r="AH5" s="244"/>
      <c r="AI5" s="194">
        <f aca="true" t="shared" si="6" ref="AI5:AI57">3*E5</f>
        <v>687</v>
      </c>
      <c r="AJ5" s="241"/>
      <c r="AK5" s="242"/>
      <c r="AL5" s="239"/>
      <c r="AM5" s="240"/>
      <c r="AN5" s="239"/>
      <c r="AO5" s="240"/>
      <c r="AP5" s="239"/>
      <c r="AQ5" s="240"/>
      <c r="AR5" s="239"/>
      <c r="AS5" s="243"/>
      <c r="AT5" s="244"/>
      <c r="AU5" s="243"/>
      <c r="AV5" s="258">
        <f t="shared" si="2"/>
        <v>280</v>
      </c>
      <c r="AW5" s="259"/>
      <c r="AX5" s="260"/>
      <c r="AY5" s="259"/>
      <c r="AZ5" s="261"/>
      <c r="BA5" s="239"/>
      <c r="BB5" s="240"/>
      <c r="BC5" s="262"/>
      <c r="BD5" s="263"/>
      <c r="BE5" s="264"/>
      <c r="BF5" s="266"/>
      <c r="BG5" s="413"/>
      <c r="BH5" s="265"/>
      <c r="BI5" s="267">
        <f aca="true" t="shared" si="7" ref="BI5:BI57">(15000/22331)*E5</f>
        <v>153.82204110877257</v>
      </c>
      <c r="BJ5" s="241"/>
      <c r="BK5" s="232"/>
      <c r="BL5" s="241"/>
      <c r="BM5" s="254"/>
      <c r="BN5" s="255"/>
      <c r="BO5" s="242"/>
      <c r="BP5" s="241"/>
      <c r="BQ5" s="242"/>
      <c r="BR5" s="167"/>
      <c r="BS5" s="172"/>
      <c r="BT5" s="171"/>
      <c r="BU5" s="437"/>
      <c r="BV5" s="46"/>
      <c r="BW5" s="48">
        <f aca="true" t="shared" si="8" ref="BW5:BW35">SUM(Z5:BU5)</f>
        <v>1472.4820411087726</v>
      </c>
      <c r="BX5" s="11"/>
      <c r="BY5" s="15">
        <f t="shared" si="3"/>
        <v>4389.126176391239</v>
      </c>
      <c r="CA5" s="463">
        <v>2749</v>
      </c>
      <c r="CC5" s="52">
        <f aca="true" t="shared" si="9" ref="CC5:CC57">BY5-CA5</f>
        <v>1640.126176391239</v>
      </c>
      <c r="CD5" s="134"/>
      <c r="CE5" s="74">
        <v>3667.3378883611467</v>
      </c>
      <c r="CF5" s="446"/>
      <c r="CG5" s="74">
        <v>5070.236809851517</v>
      </c>
      <c r="CH5" s="134"/>
      <c r="CI5" s="214">
        <v>5061.295224111732</v>
      </c>
      <c r="CJ5" s="134"/>
      <c r="CK5" s="151">
        <v>5096.357624380202</v>
      </c>
      <c r="CL5" s="134"/>
      <c r="CM5" s="111">
        <v>5109.593686064662</v>
      </c>
      <c r="CO5" s="111">
        <v>5121.1887631702375</v>
      </c>
      <c r="CQ5" s="74">
        <v>5461.183840275813</v>
      </c>
      <c r="CS5" s="74">
        <v>4336</v>
      </c>
    </row>
    <row r="6" spans="1:97" ht="15.75">
      <c r="A6" s="5" t="s">
        <v>12</v>
      </c>
      <c r="B6" s="42" t="s">
        <v>15</v>
      </c>
      <c r="C6" s="65">
        <v>119</v>
      </c>
      <c r="D6" s="65">
        <v>0</v>
      </c>
      <c r="E6" s="65">
        <f t="shared" si="0"/>
        <v>119</v>
      </c>
      <c r="F6" s="452">
        <v>148</v>
      </c>
      <c r="G6"/>
      <c r="H6" s="106">
        <v>121</v>
      </c>
      <c r="I6" s="106">
        <v>0</v>
      </c>
      <c r="J6" s="106">
        <f t="shared" si="1"/>
        <v>121</v>
      </c>
      <c r="K6" s="408">
        <v>151</v>
      </c>
      <c r="L6" s="30"/>
      <c r="M6" s="35">
        <v>855.5999999999999</v>
      </c>
      <c r="N6" s="6">
        <v>58</v>
      </c>
      <c r="O6" s="6">
        <v>1020</v>
      </c>
      <c r="P6" s="6">
        <v>8989.8016</v>
      </c>
      <c r="Q6" s="6">
        <v>82</v>
      </c>
      <c r="R6" s="6">
        <v>0</v>
      </c>
      <c r="S6" s="6">
        <v>1649</v>
      </c>
      <c r="T6" s="6">
        <v>1633.6146819</v>
      </c>
      <c r="U6" s="6">
        <v>69.615</v>
      </c>
      <c r="V6" s="6">
        <f t="shared" si="4"/>
        <v>14357.631281900001</v>
      </c>
      <c r="W6" s="6">
        <v>-8260.805799999998</v>
      </c>
      <c r="X6" s="7">
        <f t="shared" si="5"/>
        <v>6096.825481900003</v>
      </c>
      <c r="Z6" s="244"/>
      <c r="AA6" s="18"/>
      <c r="AB6" s="256"/>
      <c r="AC6" s="257">
        <v>910</v>
      </c>
      <c r="AD6" s="244"/>
      <c r="AE6" s="18">
        <f>1.54*E6</f>
        <v>183.26</v>
      </c>
      <c r="AF6" s="239"/>
      <c r="AG6" s="240"/>
      <c r="AH6" s="244"/>
      <c r="AI6" s="194">
        <f t="shared" si="6"/>
        <v>357</v>
      </c>
      <c r="AJ6" s="241"/>
      <c r="AK6" s="242"/>
      <c r="AL6" s="239"/>
      <c r="AM6" s="240"/>
      <c r="AN6" s="239"/>
      <c r="AO6" s="240"/>
      <c r="AP6" s="239"/>
      <c r="AQ6" s="240"/>
      <c r="AR6" s="239"/>
      <c r="AS6" s="243"/>
      <c r="AT6" s="244"/>
      <c r="AU6" s="243"/>
      <c r="AV6" s="258">
        <f t="shared" si="2"/>
        <v>148</v>
      </c>
      <c r="AW6" s="259"/>
      <c r="AX6" s="260"/>
      <c r="AY6" s="259"/>
      <c r="AZ6" s="261"/>
      <c r="BA6" s="239"/>
      <c r="BB6" s="240"/>
      <c r="BC6" s="262" t="s">
        <v>130</v>
      </c>
      <c r="BD6" s="263"/>
      <c r="BE6" s="264"/>
      <c r="BF6" s="266"/>
      <c r="BG6" s="413"/>
      <c r="BH6" s="265"/>
      <c r="BI6" s="267">
        <f t="shared" si="7"/>
        <v>79.93372441896915</v>
      </c>
      <c r="BJ6" s="241"/>
      <c r="BK6" s="232"/>
      <c r="BL6" s="241"/>
      <c r="BM6" s="254"/>
      <c r="BN6" s="255"/>
      <c r="BO6" s="242"/>
      <c r="BP6" s="241"/>
      <c r="BQ6" s="242"/>
      <c r="BR6" s="167"/>
      <c r="BS6" s="172"/>
      <c r="BT6" s="171"/>
      <c r="BU6" s="437"/>
      <c r="BV6" s="46"/>
      <c r="BW6" s="48">
        <f t="shared" si="8"/>
        <v>1678.1937244189692</v>
      </c>
      <c r="BX6" s="11"/>
      <c r="BY6" s="15">
        <f t="shared" si="3"/>
        <v>4418.631757481034</v>
      </c>
      <c r="CA6" s="463">
        <v>3065</v>
      </c>
      <c r="CC6" s="52">
        <f t="shared" si="9"/>
        <v>1353.6317574810337</v>
      </c>
      <c r="CD6" s="134"/>
      <c r="CE6" s="214">
        <v>4088.208333541219</v>
      </c>
      <c r="CF6" s="446"/>
      <c r="CG6" s="214">
        <v>5275.786284720724</v>
      </c>
      <c r="CH6" s="134"/>
      <c r="CI6" s="214">
        <v>5395.976122240552</v>
      </c>
      <c r="CJ6" s="134"/>
      <c r="CK6" s="151">
        <v>5419.94855426062</v>
      </c>
      <c r="CL6" s="134"/>
      <c r="CM6" s="111">
        <v>5699.8616622084255</v>
      </c>
      <c r="CO6" s="111">
        <v>5719.724770156231</v>
      </c>
      <c r="CQ6" s="74">
        <v>5905.246893525152</v>
      </c>
      <c r="CS6" s="74">
        <v>5405</v>
      </c>
    </row>
    <row r="7" spans="1:97" ht="15.75">
      <c r="A7" s="5" t="s">
        <v>12</v>
      </c>
      <c r="B7" s="42" t="s">
        <v>16</v>
      </c>
      <c r="C7" s="65">
        <v>59</v>
      </c>
      <c r="D7" s="65">
        <v>2</v>
      </c>
      <c r="E7" s="65">
        <f t="shared" si="0"/>
        <v>61</v>
      </c>
      <c r="F7" s="452">
        <v>77</v>
      </c>
      <c r="G7"/>
      <c r="H7" s="106">
        <v>59</v>
      </c>
      <c r="I7" s="106">
        <v>2</v>
      </c>
      <c r="J7" s="106">
        <f t="shared" si="1"/>
        <v>61</v>
      </c>
      <c r="K7" s="408">
        <v>77</v>
      </c>
      <c r="L7" s="30"/>
      <c r="M7" s="35">
        <v>124.45</v>
      </c>
      <c r="N7" s="6">
        <v>0</v>
      </c>
      <c r="O7" s="6">
        <v>1020</v>
      </c>
      <c r="P7" s="6">
        <v>4537.848599999999</v>
      </c>
      <c r="Q7" s="6">
        <v>453</v>
      </c>
      <c r="R7" s="6">
        <v>0</v>
      </c>
      <c r="S7" s="6">
        <v>0</v>
      </c>
      <c r="T7" s="6">
        <v>655.5742509</v>
      </c>
      <c r="U7" s="6">
        <v>0</v>
      </c>
      <c r="V7" s="6">
        <f t="shared" si="4"/>
        <v>6790.872850899999</v>
      </c>
      <c r="W7" s="6">
        <v>-4636.668400000004</v>
      </c>
      <c r="X7" s="7">
        <f t="shared" si="5"/>
        <v>2154.204450899995</v>
      </c>
      <c r="Z7" s="244"/>
      <c r="AA7" s="18"/>
      <c r="AB7" s="256"/>
      <c r="AC7" s="257"/>
      <c r="AD7" s="244"/>
      <c r="AE7" s="18">
        <f>1.54*E7</f>
        <v>93.94</v>
      </c>
      <c r="AF7" s="239"/>
      <c r="AG7" s="240"/>
      <c r="AH7" s="244"/>
      <c r="AI7" s="194">
        <f t="shared" si="6"/>
        <v>183</v>
      </c>
      <c r="AJ7" s="241"/>
      <c r="AK7" s="242"/>
      <c r="AL7" s="239"/>
      <c r="AM7" s="240"/>
      <c r="AN7" s="239"/>
      <c r="AO7" s="240"/>
      <c r="AP7" s="239"/>
      <c r="AQ7" s="240"/>
      <c r="AR7" s="239"/>
      <c r="AS7" s="243"/>
      <c r="AT7" s="244"/>
      <c r="AU7" s="243"/>
      <c r="AV7" s="258">
        <f t="shared" si="2"/>
        <v>77</v>
      </c>
      <c r="AW7" s="259"/>
      <c r="AX7" s="260"/>
      <c r="AY7" s="259"/>
      <c r="AZ7" s="261"/>
      <c r="BA7" s="239"/>
      <c r="BB7" s="240"/>
      <c r="BC7" s="262"/>
      <c r="BD7" s="263"/>
      <c r="BE7" s="264"/>
      <c r="BF7" s="266"/>
      <c r="BG7" s="413"/>
      <c r="BH7" s="265"/>
      <c r="BI7" s="267">
        <f t="shared" si="7"/>
        <v>40.97443016434553</v>
      </c>
      <c r="BJ7" s="241"/>
      <c r="BK7" s="232"/>
      <c r="BL7" s="241"/>
      <c r="BM7" s="254"/>
      <c r="BN7" s="255"/>
      <c r="BO7" s="242"/>
      <c r="BP7" s="241"/>
      <c r="BQ7" s="242"/>
      <c r="BR7" s="167"/>
      <c r="BS7" s="172"/>
      <c r="BT7" s="171"/>
      <c r="BU7" s="437"/>
      <c r="BV7" s="46"/>
      <c r="BW7" s="48">
        <f t="shared" si="8"/>
        <v>394.9144301643455</v>
      </c>
      <c r="BX7" s="11"/>
      <c r="BY7" s="15">
        <f t="shared" si="3"/>
        <v>1759.2900207356497</v>
      </c>
      <c r="CA7" s="463">
        <v>1077</v>
      </c>
      <c r="CC7" s="52">
        <f t="shared" si="9"/>
        <v>682.2900207356497</v>
      </c>
      <c r="CD7" s="134"/>
      <c r="CE7" s="214">
        <v>1437.2900207356497</v>
      </c>
      <c r="CF7" s="446"/>
      <c r="CG7" s="214">
        <v>1941.9029103521243</v>
      </c>
      <c r="CH7" s="134"/>
      <c r="CI7" s="214">
        <v>1942.8279868115974</v>
      </c>
      <c r="CJ7" s="134"/>
      <c r="CK7" s="151">
        <v>1953.1045102119763</v>
      </c>
      <c r="CL7" s="134"/>
      <c r="CM7" s="111">
        <v>1960.2225410542064</v>
      </c>
      <c r="CO7" s="111">
        <v>1961.8815564753213</v>
      </c>
      <c r="CQ7" s="74">
        <v>2053.3405718964364</v>
      </c>
      <c r="CS7" s="74">
        <v>1717</v>
      </c>
    </row>
    <row r="8" spans="1:97" ht="15.75">
      <c r="A8" s="5" t="s">
        <v>12</v>
      </c>
      <c r="B8" s="42" t="s">
        <v>17</v>
      </c>
      <c r="C8" s="65">
        <v>51</v>
      </c>
      <c r="D8" s="65">
        <v>0</v>
      </c>
      <c r="E8" s="65">
        <f t="shared" si="0"/>
        <v>51</v>
      </c>
      <c r="F8" s="452">
        <v>91</v>
      </c>
      <c r="G8"/>
      <c r="H8" s="106">
        <v>52</v>
      </c>
      <c r="I8" s="106">
        <v>0</v>
      </c>
      <c r="J8" s="106">
        <f t="shared" si="1"/>
        <v>52</v>
      </c>
      <c r="K8" s="408">
        <v>91</v>
      </c>
      <c r="L8" s="30"/>
      <c r="M8" s="35">
        <v>155.65</v>
      </c>
      <c r="N8" s="6">
        <v>5</v>
      </c>
      <c r="O8" s="6">
        <v>1020</v>
      </c>
      <c r="P8" s="6">
        <v>5260.315200000001</v>
      </c>
      <c r="Q8" s="6">
        <v>49</v>
      </c>
      <c r="R8" s="6">
        <v>0</v>
      </c>
      <c r="S8" s="6">
        <v>86</v>
      </c>
      <c r="T8" s="6">
        <v>571.2274135</v>
      </c>
      <c r="U8" s="6">
        <v>29.35</v>
      </c>
      <c r="V8" s="6">
        <f t="shared" si="4"/>
        <v>7176.542613500001</v>
      </c>
      <c r="W8" s="6">
        <v>-5127.547600000001</v>
      </c>
      <c r="X8" s="7">
        <f t="shared" si="5"/>
        <v>2048.9950135</v>
      </c>
      <c r="Z8" s="244"/>
      <c r="AA8" s="18"/>
      <c r="AB8" s="256"/>
      <c r="AC8" s="257"/>
      <c r="AD8" s="244"/>
      <c r="AE8" s="18">
        <f>1.54*E8</f>
        <v>78.54</v>
      </c>
      <c r="AF8" s="239"/>
      <c r="AG8" s="240"/>
      <c r="AH8" s="244"/>
      <c r="AI8" s="194">
        <f t="shared" si="6"/>
        <v>153</v>
      </c>
      <c r="AJ8" s="241"/>
      <c r="AK8" s="242"/>
      <c r="AL8" s="239"/>
      <c r="AM8" s="240"/>
      <c r="AN8" s="239"/>
      <c r="AO8" s="240"/>
      <c r="AP8" s="239"/>
      <c r="AQ8" s="240"/>
      <c r="AR8" s="239"/>
      <c r="AS8" s="243"/>
      <c r="AT8" s="244"/>
      <c r="AU8" s="243"/>
      <c r="AV8" s="258">
        <f t="shared" si="2"/>
        <v>91</v>
      </c>
      <c r="AW8" s="259"/>
      <c r="AX8" s="260"/>
      <c r="AY8" s="259"/>
      <c r="AZ8" s="261"/>
      <c r="BA8" s="239"/>
      <c r="BB8" s="240"/>
      <c r="BC8" s="262"/>
      <c r="BD8" s="263"/>
      <c r="BE8" s="264"/>
      <c r="BF8" s="266"/>
      <c r="BG8" s="413"/>
      <c r="BH8" s="265"/>
      <c r="BI8" s="267">
        <f t="shared" si="7"/>
        <v>34.25731046527249</v>
      </c>
      <c r="BJ8" s="241"/>
      <c r="BK8" s="232"/>
      <c r="BL8" s="241"/>
      <c r="BM8" s="254"/>
      <c r="BN8" s="255"/>
      <c r="BO8" s="242"/>
      <c r="BP8" s="241"/>
      <c r="BQ8" s="242"/>
      <c r="BR8" s="167"/>
      <c r="BS8" s="172"/>
      <c r="BT8" s="171"/>
      <c r="BU8" s="437"/>
      <c r="BV8" s="46"/>
      <c r="BW8" s="48">
        <f t="shared" si="8"/>
        <v>356.7973104652725</v>
      </c>
      <c r="BX8" s="11"/>
      <c r="BY8" s="15">
        <f t="shared" si="3"/>
        <v>1692.1977030347275</v>
      </c>
      <c r="CA8" s="463">
        <v>1304</v>
      </c>
      <c r="CC8" s="52">
        <f t="shared" si="9"/>
        <v>388.1977030347275</v>
      </c>
      <c r="CD8" s="134"/>
      <c r="CE8" s="214">
        <v>1738.9859910648202</v>
      </c>
      <c r="CF8" s="446"/>
      <c r="CG8" s="214">
        <v>1825.3476470774342</v>
      </c>
      <c r="CH8" s="134"/>
      <c r="CI8" s="214">
        <v>1813.17997681854</v>
      </c>
      <c r="CJ8" s="134"/>
      <c r="CK8" s="151">
        <v>1799.8639340219454</v>
      </c>
      <c r="CL8" s="134"/>
      <c r="CM8" s="111">
        <v>1802.4229494430604</v>
      </c>
      <c r="CO8" s="111">
        <v>1803.5819648641755</v>
      </c>
      <c r="CQ8" s="74">
        <v>1904.5409802852905</v>
      </c>
      <c r="CS8" s="74">
        <v>1560</v>
      </c>
    </row>
    <row r="9" spans="1:97" s="19" customFormat="1" ht="15.75">
      <c r="A9" s="16" t="s">
        <v>12</v>
      </c>
      <c r="B9" s="106" t="s">
        <v>18</v>
      </c>
      <c r="C9" s="65">
        <v>729</v>
      </c>
      <c r="D9" s="65">
        <v>26</v>
      </c>
      <c r="E9" s="65">
        <f t="shared" si="0"/>
        <v>755</v>
      </c>
      <c r="F9" s="452">
        <v>1035</v>
      </c>
      <c r="G9"/>
      <c r="H9" s="106">
        <v>736</v>
      </c>
      <c r="I9" s="106">
        <v>26</v>
      </c>
      <c r="J9" s="106">
        <f t="shared" si="1"/>
        <v>762</v>
      </c>
      <c r="K9" s="408">
        <v>1040</v>
      </c>
      <c r="L9" s="31"/>
      <c r="M9" s="36">
        <v>131241.37</v>
      </c>
      <c r="N9" s="17">
        <v>10511</v>
      </c>
      <c r="O9" s="17">
        <v>2550</v>
      </c>
      <c r="P9" s="17">
        <v>78937.20029999998</v>
      </c>
      <c r="Q9" s="17">
        <v>5187</v>
      </c>
      <c r="R9" s="17">
        <v>0</v>
      </c>
      <c r="S9" s="17">
        <v>14854</v>
      </c>
      <c r="T9" s="17">
        <v>8308.839159500001</v>
      </c>
      <c r="U9" s="17">
        <v>1990.6599999999999</v>
      </c>
      <c r="V9" s="17">
        <f t="shared" si="4"/>
        <v>253580.06945949997</v>
      </c>
      <c r="W9" s="17">
        <v>-87353.14989999996</v>
      </c>
      <c r="X9" s="18">
        <f t="shared" si="5"/>
        <v>166226.9195595</v>
      </c>
      <c r="Z9" s="244"/>
      <c r="AA9" s="18"/>
      <c r="AB9" s="256"/>
      <c r="AC9" s="257">
        <v>6615</v>
      </c>
      <c r="AD9" s="244"/>
      <c r="AE9" s="18">
        <f>1.54*E9-4</f>
        <v>1158.7</v>
      </c>
      <c r="AF9" s="239"/>
      <c r="AG9" s="240"/>
      <c r="AH9" s="244"/>
      <c r="AI9" s="194">
        <f t="shared" si="6"/>
        <v>2265</v>
      </c>
      <c r="AJ9" s="239"/>
      <c r="AK9" s="240"/>
      <c r="AL9" s="239"/>
      <c r="AM9" s="240"/>
      <c r="AN9" s="239"/>
      <c r="AO9" s="240"/>
      <c r="AP9" s="239"/>
      <c r="AQ9" s="240"/>
      <c r="AR9" s="239"/>
      <c r="AS9" s="243"/>
      <c r="AT9" s="244"/>
      <c r="AU9" s="243"/>
      <c r="AV9" s="258">
        <f t="shared" si="2"/>
        <v>1035</v>
      </c>
      <c r="AW9" s="259"/>
      <c r="AX9" s="260"/>
      <c r="AY9" s="259"/>
      <c r="AZ9" s="261"/>
      <c r="BA9" s="239"/>
      <c r="BB9" s="240"/>
      <c r="BC9" s="262"/>
      <c r="BD9" s="263">
        <v>-3000</v>
      </c>
      <c r="BE9" s="264"/>
      <c r="BF9" s="266"/>
      <c r="BG9" s="413"/>
      <c r="BH9" s="265"/>
      <c r="BI9" s="267">
        <f t="shared" si="7"/>
        <v>507.1425372800143</v>
      </c>
      <c r="BJ9" s="239"/>
      <c r="BK9" s="430"/>
      <c r="BL9" s="239"/>
      <c r="BM9" s="243"/>
      <c r="BN9" s="244"/>
      <c r="BO9" s="240"/>
      <c r="BP9" s="239"/>
      <c r="BQ9" s="240"/>
      <c r="BR9" s="167"/>
      <c r="BS9" s="172"/>
      <c r="BT9" s="170"/>
      <c r="BU9" s="437"/>
      <c r="BV9" s="49"/>
      <c r="BW9" s="48">
        <f t="shared" si="8"/>
        <v>8580.842537280016</v>
      </c>
      <c r="BX9" s="20"/>
      <c r="BY9" s="15">
        <f t="shared" si="3"/>
        <v>157646.07702221998</v>
      </c>
      <c r="BZ9" s="71"/>
      <c r="CA9" s="463">
        <v>118068</v>
      </c>
      <c r="CC9" s="52">
        <f t="shared" si="9"/>
        <v>39578.07702221998</v>
      </c>
      <c r="CD9" s="134"/>
      <c r="CE9" s="214">
        <v>157421.59503843065</v>
      </c>
      <c r="CF9" s="446"/>
      <c r="CG9" s="214">
        <v>163483.54127363075</v>
      </c>
      <c r="CH9" s="134"/>
      <c r="CI9" s="214">
        <v>155831.53410709533</v>
      </c>
      <c r="CJ9" s="134"/>
      <c r="CK9" s="151">
        <v>155956.9432842924</v>
      </c>
      <c r="CL9" s="134"/>
      <c r="CM9" s="112">
        <v>163618.9432842924</v>
      </c>
      <c r="CO9" s="112">
        <v>163005.12442308245</v>
      </c>
      <c r="CQ9" s="74">
        <v>164807.06131513463</v>
      </c>
      <c r="CS9" s="74">
        <v>160715</v>
      </c>
    </row>
    <row r="10" spans="1:97" ht="16.5" thickBot="1">
      <c r="A10" s="8" t="s">
        <v>12</v>
      </c>
      <c r="B10" s="44" t="s">
        <v>19</v>
      </c>
      <c r="C10" s="453">
        <v>552</v>
      </c>
      <c r="D10" s="453">
        <v>10</v>
      </c>
      <c r="E10" s="453">
        <f t="shared" si="0"/>
        <v>562</v>
      </c>
      <c r="F10" s="454">
        <v>620</v>
      </c>
      <c r="G10"/>
      <c r="H10" s="409">
        <v>544</v>
      </c>
      <c r="I10" s="409">
        <v>9</v>
      </c>
      <c r="J10" s="409">
        <f t="shared" si="1"/>
        <v>553</v>
      </c>
      <c r="K10" s="410">
        <v>612</v>
      </c>
      <c r="L10" s="30"/>
      <c r="M10" s="37">
        <v>6427.160000000001</v>
      </c>
      <c r="N10" s="9">
        <v>1301</v>
      </c>
      <c r="O10" s="9">
        <v>1020</v>
      </c>
      <c r="P10" s="9">
        <v>51078.609899999996</v>
      </c>
      <c r="Q10" s="9">
        <v>948</v>
      </c>
      <c r="R10" s="9">
        <v>0</v>
      </c>
      <c r="S10" s="9">
        <v>4052</v>
      </c>
      <c r="T10" s="9">
        <v>6046.6772507000005</v>
      </c>
      <c r="U10" s="9">
        <v>561.55</v>
      </c>
      <c r="V10" s="9">
        <f t="shared" si="4"/>
        <v>71434.9971507</v>
      </c>
      <c r="W10" s="9">
        <v>-46270.668499999985</v>
      </c>
      <c r="X10" s="10">
        <f t="shared" si="5"/>
        <v>25164.328650700016</v>
      </c>
      <c r="Z10" s="435"/>
      <c r="AA10" s="424"/>
      <c r="AB10" s="271"/>
      <c r="AC10" s="272">
        <v>2417</v>
      </c>
      <c r="AD10" s="273">
        <v>1981</v>
      </c>
      <c r="AE10" s="270">
        <f>1.54*E10-2</f>
        <v>863.48</v>
      </c>
      <c r="AF10" s="274"/>
      <c r="AG10" s="275"/>
      <c r="AH10" s="269"/>
      <c r="AI10" s="197">
        <f t="shared" si="6"/>
        <v>1686</v>
      </c>
      <c r="AJ10" s="276"/>
      <c r="AK10" s="277"/>
      <c r="AL10" s="274"/>
      <c r="AM10" s="275"/>
      <c r="AN10" s="274"/>
      <c r="AO10" s="275"/>
      <c r="AP10" s="274"/>
      <c r="AQ10" s="275"/>
      <c r="AR10" s="274"/>
      <c r="AS10" s="278"/>
      <c r="AT10" s="269"/>
      <c r="AU10" s="278"/>
      <c r="AV10" s="279">
        <f t="shared" si="2"/>
        <v>620</v>
      </c>
      <c r="AW10" s="280"/>
      <c r="AX10" s="281"/>
      <c r="AY10" s="280"/>
      <c r="AZ10" s="282"/>
      <c r="BA10" s="274"/>
      <c r="BB10" s="275"/>
      <c r="BC10" s="283">
        <v>2124</v>
      </c>
      <c r="BD10" s="284"/>
      <c r="BE10" s="285">
        <v>431</v>
      </c>
      <c r="BF10" s="287"/>
      <c r="BG10" s="414"/>
      <c r="BH10" s="286"/>
      <c r="BI10" s="288">
        <f t="shared" si="7"/>
        <v>377.5021270879047</v>
      </c>
      <c r="BJ10" s="276"/>
      <c r="BK10" s="325"/>
      <c r="BL10" s="276"/>
      <c r="BM10" s="289"/>
      <c r="BN10" s="290"/>
      <c r="BO10" s="277"/>
      <c r="BP10" s="276"/>
      <c r="BQ10" s="277"/>
      <c r="BR10" s="175"/>
      <c r="BS10" s="178"/>
      <c r="BT10" s="177"/>
      <c r="BU10" s="438"/>
      <c r="BV10" s="46"/>
      <c r="BW10" s="50">
        <f t="shared" si="8"/>
        <v>10499.982127087904</v>
      </c>
      <c r="BX10" s="11"/>
      <c r="BY10" s="26">
        <f t="shared" si="3"/>
        <v>14664.346523612112</v>
      </c>
      <c r="CA10" s="464">
        <v>10293</v>
      </c>
      <c r="CB10" s="51"/>
      <c r="CC10" s="57">
        <f t="shared" si="9"/>
        <v>4371.346523612112</v>
      </c>
      <c r="CD10" s="134"/>
      <c r="CE10" s="215">
        <v>13722.251931341278</v>
      </c>
      <c r="CF10" s="446"/>
      <c r="CG10" s="215">
        <v>17750.48701793625</v>
      </c>
      <c r="CH10" s="134"/>
      <c r="CI10" s="215">
        <v>18232.2297683524</v>
      </c>
      <c r="CJ10" s="134"/>
      <c r="CK10" s="152">
        <v>18612.019338718994</v>
      </c>
      <c r="CL10" s="134"/>
      <c r="CM10" s="115">
        <v>23443.019338718994</v>
      </c>
      <c r="CN10" s="51"/>
      <c r="CO10" s="115">
        <v>23435.67835414011</v>
      </c>
      <c r="CP10" s="51"/>
      <c r="CQ10" s="75">
        <v>24258.69638498234</v>
      </c>
      <c r="CS10" s="75">
        <v>21407</v>
      </c>
    </row>
    <row r="11" spans="1:97" ht="15.75">
      <c r="A11" s="2" t="s">
        <v>20</v>
      </c>
      <c r="B11" s="64" t="s">
        <v>21</v>
      </c>
      <c r="C11" s="450">
        <v>348</v>
      </c>
      <c r="D11" s="450">
        <v>6</v>
      </c>
      <c r="E11" s="450">
        <f t="shared" si="0"/>
        <v>354</v>
      </c>
      <c r="F11" s="451">
        <v>399</v>
      </c>
      <c r="G11"/>
      <c r="H11" s="406">
        <v>347</v>
      </c>
      <c r="I11" s="406">
        <v>6</v>
      </c>
      <c r="J11" s="406">
        <f t="shared" si="1"/>
        <v>353</v>
      </c>
      <c r="K11" s="407">
        <v>398</v>
      </c>
      <c r="L11" s="30"/>
      <c r="M11" s="38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67">
        <v>18452</v>
      </c>
      <c r="W11" s="3">
        <v>5939.466899999994</v>
      </c>
      <c r="X11" s="4">
        <f t="shared" si="5"/>
        <v>24391.466899999992</v>
      </c>
      <c r="Z11" s="236"/>
      <c r="AA11" s="237">
        <f>E11*2</f>
        <v>708</v>
      </c>
      <c r="AB11" s="239"/>
      <c r="AC11" s="291">
        <v>5632</v>
      </c>
      <c r="AD11" s="292">
        <v>24146</v>
      </c>
      <c r="AE11" s="293">
        <v>1975</v>
      </c>
      <c r="AF11" s="239"/>
      <c r="AG11" s="240"/>
      <c r="AH11" s="236"/>
      <c r="AI11" s="473">
        <f t="shared" si="6"/>
        <v>1062</v>
      </c>
      <c r="AJ11" s="241"/>
      <c r="AK11" s="242"/>
      <c r="AL11" s="239"/>
      <c r="AM11" s="240"/>
      <c r="AN11" s="239"/>
      <c r="AO11" s="240"/>
      <c r="AP11" s="239"/>
      <c r="AQ11" s="240"/>
      <c r="AR11" s="239"/>
      <c r="AS11" s="294"/>
      <c r="AT11" s="244"/>
      <c r="AU11" s="243"/>
      <c r="AV11" s="295">
        <f aca="true" t="shared" si="10" ref="AV11:AV36">F11*4</f>
        <v>1596</v>
      </c>
      <c r="AW11" s="264">
        <v>-81</v>
      </c>
      <c r="AX11" s="296">
        <v>248</v>
      </c>
      <c r="AY11" s="264">
        <v>695</v>
      </c>
      <c r="AZ11" s="261"/>
      <c r="BA11" s="239"/>
      <c r="BB11" s="240"/>
      <c r="BC11" s="360"/>
      <c r="BD11" s="249"/>
      <c r="BE11" s="246"/>
      <c r="BF11" s="345"/>
      <c r="BG11" s="412"/>
      <c r="BH11" s="250"/>
      <c r="BI11" s="252">
        <f t="shared" si="7"/>
        <v>237.78603734718553</v>
      </c>
      <c r="BJ11" s="241"/>
      <c r="BK11" s="232"/>
      <c r="BL11" s="241"/>
      <c r="BM11" s="254"/>
      <c r="BN11" s="255"/>
      <c r="BO11" s="242"/>
      <c r="BP11" s="241"/>
      <c r="BQ11" s="242"/>
      <c r="BR11" s="167"/>
      <c r="BS11" s="172"/>
      <c r="BT11" s="171"/>
      <c r="BU11" s="437"/>
      <c r="BV11" s="46"/>
      <c r="BW11" s="47">
        <f t="shared" si="8"/>
        <v>36218.786037347185</v>
      </c>
      <c r="BX11" s="11"/>
      <c r="BY11" s="27">
        <f t="shared" si="3"/>
        <v>-11827.319137347193</v>
      </c>
      <c r="CA11" s="462">
        <v>-7939</v>
      </c>
      <c r="CC11" s="100">
        <f t="shared" si="9"/>
        <v>-3888.3191373471927</v>
      </c>
      <c r="CD11" s="134"/>
      <c r="CE11" s="76">
        <v>-10581.647425377283</v>
      </c>
      <c r="CF11" s="446"/>
      <c r="CG11" s="76">
        <v>-14407.53147266071</v>
      </c>
      <c r="CH11" s="134"/>
      <c r="CI11" s="76">
        <v>-10378.151884530394</v>
      </c>
      <c r="CJ11" s="134"/>
      <c r="CK11" s="150">
        <v>-6278.722898339271</v>
      </c>
      <c r="CL11" s="134"/>
      <c r="CM11" s="153">
        <v>-2928.5179754448473</v>
      </c>
      <c r="CO11" s="110">
        <v>-309.87206797153704</v>
      </c>
      <c r="CQ11" s="76">
        <v>-1835.2851759193436</v>
      </c>
      <c r="CS11" s="76">
        <v>-735</v>
      </c>
    </row>
    <row r="12" spans="1:97" ht="15.75">
      <c r="A12" s="5" t="s">
        <v>20</v>
      </c>
      <c r="B12" s="62" t="s">
        <v>22</v>
      </c>
      <c r="C12" s="65">
        <v>724</v>
      </c>
      <c r="D12" s="65">
        <v>16</v>
      </c>
      <c r="E12" s="65">
        <f t="shared" si="0"/>
        <v>740</v>
      </c>
      <c r="F12" s="452">
        <v>821</v>
      </c>
      <c r="G12"/>
      <c r="H12" s="106">
        <v>721</v>
      </c>
      <c r="I12" s="106">
        <v>16</v>
      </c>
      <c r="J12" s="106">
        <f t="shared" si="1"/>
        <v>737</v>
      </c>
      <c r="K12" s="408">
        <v>816</v>
      </c>
      <c r="L12" s="30"/>
      <c r="M12" s="35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8">
        <v>31687</v>
      </c>
      <c r="W12" s="6">
        <v>13311.854899999966</v>
      </c>
      <c r="X12" s="7">
        <f t="shared" si="5"/>
        <v>44998.85489999996</v>
      </c>
      <c r="Z12" s="244"/>
      <c r="AA12" s="18">
        <f aca="true" t="shared" si="11" ref="AA12:AA30">E12*2</f>
        <v>1480</v>
      </c>
      <c r="AB12" s="239"/>
      <c r="AC12" s="268">
        <v>3680</v>
      </c>
      <c r="AD12" s="298">
        <v>39627</v>
      </c>
      <c r="AE12" s="299">
        <v>1975</v>
      </c>
      <c r="AF12" s="239"/>
      <c r="AG12" s="240"/>
      <c r="AH12" s="244"/>
      <c r="AI12" s="194">
        <f t="shared" si="6"/>
        <v>2220</v>
      </c>
      <c r="AJ12" s="241">
        <v>15397</v>
      </c>
      <c r="AK12" s="300">
        <v>21779</v>
      </c>
      <c r="AL12" s="239"/>
      <c r="AM12" s="240"/>
      <c r="AN12" s="239"/>
      <c r="AO12" s="240"/>
      <c r="AP12" s="239"/>
      <c r="AQ12" s="240"/>
      <c r="AR12" s="239"/>
      <c r="AS12" s="294"/>
      <c r="AT12" s="244"/>
      <c r="AU12" s="243"/>
      <c r="AV12" s="258">
        <f t="shared" si="10"/>
        <v>3284</v>
      </c>
      <c r="AW12" s="259">
        <v>-1050</v>
      </c>
      <c r="AX12" s="260">
        <v>943</v>
      </c>
      <c r="AY12" s="259">
        <v>695</v>
      </c>
      <c r="AZ12" s="261"/>
      <c r="BA12" s="239"/>
      <c r="BB12" s="240"/>
      <c r="BC12" s="262">
        <f>833+1972</f>
        <v>2805</v>
      </c>
      <c r="BD12" s="263"/>
      <c r="BE12" s="264">
        <v>2595</v>
      </c>
      <c r="BF12" s="265">
        <v>-3000</v>
      </c>
      <c r="BG12" s="413"/>
      <c r="BH12" s="265"/>
      <c r="BI12" s="267">
        <f t="shared" si="7"/>
        <v>497.06685773140475</v>
      </c>
      <c r="BJ12" s="241"/>
      <c r="BK12" s="232"/>
      <c r="BL12" s="241"/>
      <c r="BM12" s="254"/>
      <c r="BN12" s="255"/>
      <c r="BO12" s="242"/>
      <c r="BP12" s="241"/>
      <c r="BQ12" s="242"/>
      <c r="BR12" s="167"/>
      <c r="BS12" s="172"/>
      <c r="BT12" s="171"/>
      <c r="BU12" s="437"/>
      <c r="BV12" s="46"/>
      <c r="BW12" s="48">
        <f t="shared" si="8"/>
        <v>92927.0668577314</v>
      </c>
      <c r="BX12" s="11"/>
      <c r="BY12" s="15">
        <f t="shared" si="3"/>
        <v>-47928.211957731444</v>
      </c>
      <c r="CA12" s="463">
        <v>-35980</v>
      </c>
      <c r="CC12" s="100">
        <f t="shared" si="9"/>
        <v>-11948.211957731444</v>
      </c>
      <c r="CD12" s="134"/>
      <c r="CE12" s="214">
        <v>-47980.19682182172</v>
      </c>
      <c r="CF12" s="446"/>
      <c r="CG12" s="214">
        <v>-43818.44941244919</v>
      </c>
      <c r="CH12" s="134"/>
      <c r="CI12" s="214">
        <v>-40558.26909239203</v>
      </c>
      <c r="CJ12" s="134"/>
      <c r="CK12" s="151">
        <v>-43419.108326571804</v>
      </c>
      <c r="CL12" s="134"/>
      <c r="CM12" s="111">
        <v>-16488.226357414038</v>
      </c>
      <c r="CO12" s="111">
        <v>-696.6673419929211</v>
      </c>
      <c r="CQ12" s="74">
        <v>-4926.167341992921</v>
      </c>
      <c r="CS12" s="74">
        <v>-3142</v>
      </c>
    </row>
    <row r="13" spans="1:97" ht="15.75">
      <c r="A13" s="5" t="s">
        <v>20</v>
      </c>
      <c r="B13" s="42" t="s">
        <v>23</v>
      </c>
      <c r="C13" s="65">
        <v>369</v>
      </c>
      <c r="D13" s="65">
        <v>4</v>
      </c>
      <c r="E13" s="65">
        <f t="shared" si="0"/>
        <v>373</v>
      </c>
      <c r="F13" s="452">
        <v>450</v>
      </c>
      <c r="G13"/>
      <c r="H13" s="106">
        <v>367</v>
      </c>
      <c r="I13" s="106">
        <v>5</v>
      </c>
      <c r="J13" s="106">
        <f t="shared" si="1"/>
        <v>372</v>
      </c>
      <c r="K13" s="408">
        <v>447</v>
      </c>
      <c r="L13" s="30"/>
      <c r="M13" s="35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8">
        <v>7724</v>
      </c>
      <c r="W13" s="6">
        <v>5395.95489999997</v>
      </c>
      <c r="X13" s="7">
        <f t="shared" si="5"/>
        <v>13119.95489999997</v>
      </c>
      <c r="Z13" s="244"/>
      <c r="AA13" s="18">
        <f t="shared" si="11"/>
        <v>746</v>
      </c>
      <c r="AB13" s="239"/>
      <c r="AC13" s="268">
        <v>2100</v>
      </c>
      <c r="AD13" s="298">
        <v>31012</v>
      </c>
      <c r="AE13" s="299">
        <v>1975</v>
      </c>
      <c r="AF13" s="239"/>
      <c r="AG13" s="240"/>
      <c r="AH13" s="244"/>
      <c r="AI13" s="194">
        <f t="shared" si="6"/>
        <v>1119</v>
      </c>
      <c r="AJ13" s="241"/>
      <c r="AK13" s="300"/>
      <c r="AL13" s="239"/>
      <c r="AM13" s="240"/>
      <c r="AN13" s="239"/>
      <c r="AO13" s="240"/>
      <c r="AP13" s="239"/>
      <c r="AQ13" s="240"/>
      <c r="AR13" s="239"/>
      <c r="AS13" s="294"/>
      <c r="AT13" s="244"/>
      <c r="AU13" s="243"/>
      <c r="AV13" s="258">
        <f t="shared" si="10"/>
        <v>1800</v>
      </c>
      <c r="AW13" s="259">
        <v>-1670</v>
      </c>
      <c r="AX13" s="260"/>
      <c r="AY13" s="259">
        <v>695</v>
      </c>
      <c r="AZ13" s="261"/>
      <c r="BA13" s="239"/>
      <c r="BB13" s="240"/>
      <c r="BC13" s="305">
        <v>2981</v>
      </c>
      <c r="BD13" s="263"/>
      <c r="BE13" s="264"/>
      <c r="BF13" s="265"/>
      <c r="BG13" s="413"/>
      <c r="BH13" s="265"/>
      <c r="BI13" s="267">
        <f t="shared" si="7"/>
        <v>250.5485647754243</v>
      </c>
      <c r="BJ13" s="241"/>
      <c r="BK13" s="232"/>
      <c r="BL13" s="241"/>
      <c r="BM13" s="254"/>
      <c r="BN13" s="255"/>
      <c r="BO13" s="242"/>
      <c r="BP13" s="241"/>
      <c r="BQ13" s="242"/>
      <c r="BR13" s="167"/>
      <c r="BS13" s="172"/>
      <c r="BT13" s="171"/>
      <c r="BU13" s="437"/>
      <c r="BV13" s="46"/>
      <c r="BW13" s="48">
        <f t="shared" si="8"/>
        <v>41008.548564775425</v>
      </c>
      <c r="BX13" s="11"/>
      <c r="BY13" s="15">
        <f t="shared" si="3"/>
        <v>-27888.593664775457</v>
      </c>
      <c r="CA13" s="463">
        <v>-21123</v>
      </c>
      <c r="CC13" s="100">
        <f t="shared" si="9"/>
        <v>-6765.593664775457</v>
      </c>
      <c r="CD13" s="134"/>
      <c r="CE13" s="214">
        <v>-28163.921952805547</v>
      </c>
      <c r="CF13" s="446"/>
      <c r="CG13" s="214">
        <v>-23329.502111120186</v>
      </c>
      <c r="CH13" s="134"/>
      <c r="CI13" s="214">
        <v>-25442.55030786164</v>
      </c>
      <c r="CJ13" s="134"/>
      <c r="CK13" s="151">
        <v>-24717.25951281142</v>
      </c>
      <c r="CL13" s="134"/>
      <c r="CM13" s="111">
        <v>-21136.464435705842</v>
      </c>
      <c r="CO13" s="111">
        <v>-15660.11034317915</v>
      </c>
      <c r="CQ13" s="74">
        <v>-15139.756250652461</v>
      </c>
      <c r="CS13" s="74">
        <v>-11681</v>
      </c>
    </row>
    <row r="14" spans="1:97" s="58" customFormat="1" ht="15.75">
      <c r="A14" s="96" t="s">
        <v>20</v>
      </c>
      <c r="B14" s="62" t="s">
        <v>24</v>
      </c>
      <c r="C14" s="65">
        <v>1812</v>
      </c>
      <c r="D14" s="65">
        <v>18</v>
      </c>
      <c r="E14" s="65">
        <f t="shared" si="0"/>
        <v>1830</v>
      </c>
      <c r="F14" s="452">
        <v>1917</v>
      </c>
      <c r="G14"/>
      <c r="H14" s="106">
        <v>1778</v>
      </c>
      <c r="I14" s="106">
        <v>18</v>
      </c>
      <c r="J14" s="106">
        <f t="shared" si="1"/>
        <v>1796</v>
      </c>
      <c r="K14" s="408">
        <v>1879</v>
      </c>
      <c r="L14" s="60"/>
      <c r="M14" s="97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101">
        <v>59120</v>
      </c>
      <c r="W14" s="98">
        <v>29396.69940000004</v>
      </c>
      <c r="X14" s="99">
        <f t="shared" si="5"/>
        <v>88516.69940000004</v>
      </c>
      <c r="Z14" s="301"/>
      <c r="AA14" s="18">
        <f t="shared" si="11"/>
        <v>3660</v>
      </c>
      <c r="AB14" s="303"/>
      <c r="AC14" s="304">
        <v>4669</v>
      </c>
      <c r="AD14" s="305">
        <v>38694</v>
      </c>
      <c r="AE14" s="299">
        <v>1975</v>
      </c>
      <c r="AF14" s="303"/>
      <c r="AG14" s="306"/>
      <c r="AH14" s="301"/>
      <c r="AI14" s="194">
        <f t="shared" si="6"/>
        <v>5490</v>
      </c>
      <c r="AJ14" s="307"/>
      <c r="AK14" s="261"/>
      <c r="AL14" s="303"/>
      <c r="AM14" s="306"/>
      <c r="AN14" s="303"/>
      <c r="AO14" s="306"/>
      <c r="AP14" s="303"/>
      <c r="AQ14" s="306"/>
      <c r="AR14" s="303"/>
      <c r="AS14" s="294"/>
      <c r="AT14" s="301"/>
      <c r="AU14" s="308"/>
      <c r="AV14" s="258">
        <f t="shared" si="10"/>
        <v>7668</v>
      </c>
      <c r="AW14" s="259"/>
      <c r="AX14" s="259"/>
      <c r="AY14" s="259">
        <v>403</v>
      </c>
      <c r="AZ14" s="261"/>
      <c r="BA14" s="303"/>
      <c r="BB14" s="306"/>
      <c r="BC14" s="262">
        <v>11580</v>
      </c>
      <c r="BD14" s="263"/>
      <c r="BE14" s="264">
        <v>-159</v>
      </c>
      <c r="BF14" s="265"/>
      <c r="BG14" s="413"/>
      <c r="BH14" s="265"/>
      <c r="BI14" s="267">
        <f t="shared" si="7"/>
        <v>1229.232904930366</v>
      </c>
      <c r="BJ14" s="307"/>
      <c r="BK14" s="232"/>
      <c r="BL14" s="307"/>
      <c r="BM14" s="309"/>
      <c r="BN14" s="310"/>
      <c r="BO14" s="232"/>
      <c r="BP14" s="307"/>
      <c r="BQ14" s="232"/>
      <c r="BR14" s="180"/>
      <c r="BS14" s="184"/>
      <c r="BT14" s="183"/>
      <c r="BU14" s="437"/>
      <c r="BV14" s="85"/>
      <c r="BW14" s="48">
        <f t="shared" si="8"/>
        <v>75209.23290493037</v>
      </c>
      <c r="BX14" s="86"/>
      <c r="BY14" s="70">
        <f t="shared" si="3"/>
        <v>13307.466495069675</v>
      </c>
      <c r="CA14" s="463"/>
      <c r="CC14" s="100">
        <f t="shared" si="9"/>
        <v>13307.466495069675</v>
      </c>
      <c r="CD14" s="134"/>
      <c r="CE14" s="130">
        <v>-63233.69529795347</v>
      </c>
      <c r="CF14" s="446"/>
      <c r="CG14" s="130">
        <v>15697.995304529468</v>
      </c>
      <c r="CH14" s="134"/>
      <c r="CI14" s="130">
        <v>34569.81696181509</v>
      </c>
      <c r="CJ14" s="134"/>
      <c r="CK14" s="148">
        <v>33011.60924578889</v>
      </c>
      <c r="CL14" s="134"/>
      <c r="CM14" s="113">
        <v>35512.52887805461</v>
      </c>
      <c r="CO14" s="113">
        <v>46888.46321969161</v>
      </c>
      <c r="CQ14" s="77">
        <v>36479.338545907514</v>
      </c>
      <c r="CS14" s="77">
        <v>45322</v>
      </c>
    </row>
    <row r="15" spans="1:97" s="58" customFormat="1" ht="15.75">
      <c r="A15" s="96" t="s">
        <v>20</v>
      </c>
      <c r="B15" s="62" t="s">
        <v>25</v>
      </c>
      <c r="C15" s="65">
        <v>497</v>
      </c>
      <c r="D15" s="65">
        <v>9</v>
      </c>
      <c r="E15" s="65">
        <f t="shared" si="0"/>
        <v>506</v>
      </c>
      <c r="F15" s="452">
        <v>557</v>
      </c>
      <c r="G15"/>
      <c r="H15" s="106">
        <v>491</v>
      </c>
      <c r="I15" s="106">
        <v>9</v>
      </c>
      <c r="J15" s="106">
        <f t="shared" si="1"/>
        <v>500</v>
      </c>
      <c r="K15" s="408">
        <v>551</v>
      </c>
      <c r="L15" s="60"/>
      <c r="M15" s="97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101">
        <v>247180</v>
      </c>
      <c r="W15" s="98">
        <v>9280.388799999977</v>
      </c>
      <c r="X15" s="99">
        <f t="shared" si="5"/>
        <v>256460.3888</v>
      </c>
      <c r="Z15" s="301"/>
      <c r="AA15" s="18">
        <f t="shared" si="11"/>
        <v>1012</v>
      </c>
      <c r="AB15" s="303"/>
      <c r="AC15" s="304">
        <v>2100</v>
      </c>
      <c r="AD15" s="305">
        <v>43780</v>
      </c>
      <c r="AE15" s="299">
        <v>1975</v>
      </c>
      <c r="AF15" s="303"/>
      <c r="AG15" s="306"/>
      <c r="AH15" s="301"/>
      <c r="AI15" s="194">
        <f t="shared" si="6"/>
        <v>1518</v>
      </c>
      <c r="AJ15" s="307"/>
      <c r="AK15" s="261"/>
      <c r="AL15" s="303"/>
      <c r="AM15" s="306"/>
      <c r="AN15" s="303"/>
      <c r="AO15" s="306"/>
      <c r="AP15" s="303"/>
      <c r="AQ15" s="306"/>
      <c r="AR15" s="303"/>
      <c r="AS15" s="294"/>
      <c r="AT15" s="301"/>
      <c r="AU15" s="308"/>
      <c r="AV15" s="258">
        <f t="shared" si="10"/>
        <v>2228</v>
      </c>
      <c r="AW15" s="259"/>
      <c r="AX15" s="259">
        <v>707</v>
      </c>
      <c r="AY15" s="259">
        <v>403</v>
      </c>
      <c r="AZ15" s="261"/>
      <c r="BA15" s="303"/>
      <c r="BB15" s="306"/>
      <c r="BC15" s="262">
        <v>854</v>
      </c>
      <c r="BD15" s="263"/>
      <c r="BE15" s="264"/>
      <c r="BF15" s="265"/>
      <c r="BG15" s="413"/>
      <c r="BH15" s="265"/>
      <c r="BI15" s="267">
        <f t="shared" si="7"/>
        <v>339.8862567730957</v>
      </c>
      <c r="BJ15" s="307"/>
      <c r="BK15" s="232"/>
      <c r="BL15" s="307"/>
      <c r="BM15" s="309"/>
      <c r="BN15" s="310"/>
      <c r="BO15" s="232"/>
      <c r="BP15" s="307"/>
      <c r="BQ15" s="232"/>
      <c r="BR15" s="180"/>
      <c r="BS15" s="184"/>
      <c r="BT15" s="183"/>
      <c r="BU15" s="437"/>
      <c r="BV15" s="85"/>
      <c r="BW15" s="48">
        <f t="shared" si="8"/>
        <v>54916.8862567731</v>
      </c>
      <c r="BX15" s="86"/>
      <c r="BY15" s="70">
        <f t="shared" si="3"/>
        <v>201543.50254322687</v>
      </c>
      <c r="CA15" s="463">
        <v>149122</v>
      </c>
      <c r="CC15" s="100">
        <f t="shared" si="9"/>
        <v>52421.502543226874</v>
      </c>
      <c r="CD15" s="134"/>
      <c r="CE15" s="130">
        <v>198828.53281504632</v>
      </c>
      <c r="CF15" s="446"/>
      <c r="CG15" s="130">
        <v>194407.4281273664</v>
      </c>
      <c r="CH15" s="134"/>
      <c r="CI15" s="130">
        <v>208486.50065581014</v>
      </c>
      <c r="CJ15" s="134"/>
      <c r="CK15" s="148">
        <v>210955.35321281137</v>
      </c>
      <c r="CL15" s="134"/>
      <c r="CM15" s="113">
        <v>209551.47124365362</v>
      </c>
      <c r="CO15" s="113">
        <v>233269.50238244364</v>
      </c>
      <c r="CQ15" s="77">
        <v>214362.51549039144</v>
      </c>
      <c r="CS15" s="77">
        <v>214697</v>
      </c>
    </row>
    <row r="16" spans="1:97" s="58" customFormat="1" ht="15.75">
      <c r="A16" s="96" t="s">
        <v>20</v>
      </c>
      <c r="B16" s="62" t="s">
        <v>26</v>
      </c>
      <c r="C16" s="65">
        <v>910</v>
      </c>
      <c r="D16" s="65">
        <v>19</v>
      </c>
      <c r="E16" s="65">
        <f t="shared" si="0"/>
        <v>929</v>
      </c>
      <c r="F16" s="452">
        <v>955</v>
      </c>
      <c r="G16"/>
      <c r="H16" s="106">
        <v>917</v>
      </c>
      <c r="I16" s="106">
        <v>19</v>
      </c>
      <c r="J16" s="106">
        <f t="shared" si="1"/>
        <v>936</v>
      </c>
      <c r="K16" s="408">
        <v>962</v>
      </c>
      <c r="L16" s="60"/>
      <c r="M16" s="97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101">
        <v>44923</v>
      </c>
      <c r="W16" s="98">
        <v>14242.773000000003</v>
      </c>
      <c r="X16" s="99">
        <f t="shared" si="5"/>
        <v>59165.773</v>
      </c>
      <c r="Z16" s="301"/>
      <c r="AA16" s="18">
        <f t="shared" si="11"/>
        <v>1858</v>
      </c>
      <c r="AB16" s="303"/>
      <c r="AC16" s="304">
        <v>3125</v>
      </c>
      <c r="AD16" s="305">
        <v>30888</v>
      </c>
      <c r="AE16" s="299">
        <v>1975</v>
      </c>
      <c r="AF16" s="303"/>
      <c r="AG16" s="306"/>
      <c r="AH16" s="301"/>
      <c r="AI16" s="194">
        <f t="shared" si="6"/>
        <v>2787</v>
      </c>
      <c r="AJ16" s="307"/>
      <c r="AK16" s="261"/>
      <c r="AL16" s="303"/>
      <c r="AM16" s="306"/>
      <c r="AN16" s="303"/>
      <c r="AO16" s="306"/>
      <c r="AP16" s="303"/>
      <c r="AQ16" s="306"/>
      <c r="AR16" s="303"/>
      <c r="AS16" s="294"/>
      <c r="AT16" s="301"/>
      <c r="AU16" s="308"/>
      <c r="AV16" s="258">
        <f t="shared" si="10"/>
        <v>3820</v>
      </c>
      <c r="AW16" s="259">
        <v>-580</v>
      </c>
      <c r="AX16" s="259">
        <v>273</v>
      </c>
      <c r="AY16" s="259">
        <v>695</v>
      </c>
      <c r="AZ16" s="261"/>
      <c r="BA16" s="303"/>
      <c r="BB16" s="306"/>
      <c r="BC16" s="262">
        <v>7619</v>
      </c>
      <c r="BD16" s="265"/>
      <c r="BE16" s="264">
        <f>934-12+198</f>
        <v>1120</v>
      </c>
      <c r="BF16" s="265"/>
      <c r="BG16" s="413"/>
      <c r="BH16" s="265"/>
      <c r="BI16" s="267">
        <f t="shared" si="7"/>
        <v>624.0204200438852</v>
      </c>
      <c r="BJ16" s="307"/>
      <c r="BK16" s="232"/>
      <c r="BL16" s="307"/>
      <c r="BM16" s="309"/>
      <c r="BN16" s="310"/>
      <c r="BO16" s="232"/>
      <c r="BP16" s="307"/>
      <c r="BQ16" s="232"/>
      <c r="BR16" s="180"/>
      <c r="BS16" s="184"/>
      <c r="BT16" s="183"/>
      <c r="BU16" s="437"/>
      <c r="BV16" s="85"/>
      <c r="BW16" s="48">
        <f>SUM(Z16:BU16)</f>
        <v>54204.02042004388</v>
      </c>
      <c r="BX16" s="86"/>
      <c r="BY16" s="70">
        <f t="shared" si="3"/>
        <v>4961.752579956119</v>
      </c>
      <c r="CA16" s="463">
        <v>5856</v>
      </c>
      <c r="CC16" s="100">
        <f t="shared" si="9"/>
        <v>-894.247420043881</v>
      </c>
      <c r="CD16" s="134"/>
      <c r="CE16" s="130">
        <v>7809.050596166766</v>
      </c>
      <c r="CF16" s="446"/>
      <c r="CG16" s="130">
        <v>5879.720382695959</v>
      </c>
      <c r="CH16" s="134"/>
      <c r="CI16" s="130">
        <v>17037.16816348157</v>
      </c>
      <c r="CJ16" s="134"/>
      <c r="CK16" s="148">
        <v>19033.59031909846</v>
      </c>
      <c r="CL16" s="134"/>
      <c r="CM16" s="113">
        <v>19036.236226571767</v>
      </c>
      <c r="CO16" s="113">
        <v>21614.559180308424</v>
      </c>
      <c r="CQ16" s="77">
        <v>16005.15751957296</v>
      </c>
      <c r="CS16" s="77">
        <v>17951</v>
      </c>
    </row>
    <row r="17" spans="1:97" s="58" customFormat="1" ht="15.75">
      <c r="A17" s="96" t="s">
        <v>20</v>
      </c>
      <c r="B17" s="62" t="s">
        <v>27</v>
      </c>
      <c r="C17" s="65">
        <v>944</v>
      </c>
      <c r="D17" s="65">
        <v>9</v>
      </c>
      <c r="E17" s="65">
        <f t="shared" si="0"/>
        <v>953</v>
      </c>
      <c r="F17" s="452">
        <v>1010</v>
      </c>
      <c r="G17"/>
      <c r="H17" s="106">
        <v>926</v>
      </c>
      <c r="I17" s="106">
        <v>6</v>
      </c>
      <c r="J17" s="106">
        <f t="shared" si="1"/>
        <v>932</v>
      </c>
      <c r="K17" s="408">
        <v>988</v>
      </c>
      <c r="L17" s="60"/>
      <c r="M17" s="97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101">
        <v>11279</v>
      </c>
      <c r="W17" s="98">
        <v>8366.689600000014</v>
      </c>
      <c r="X17" s="99">
        <f t="shared" si="5"/>
        <v>19645.689600000012</v>
      </c>
      <c r="Z17" s="301"/>
      <c r="AA17" s="18">
        <f t="shared" si="11"/>
        <v>1906</v>
      </c>
      <c r="AB17" s="303"/>
      <c r="AC17" s="304">
        <v>6558</v>
      </c>
      <c r="AD17" s="305">
        <v>37308</v>
      </c>
      <c r="AE17" s="299">
        <v>1975</v>
      </c>
      <c r="AF17" s="303"/>
      <c r="AG17" s="306"/>
      <c r="AH17" s="301"/>
      <c r="AI17" s="194">
        <f t="shared" si="6"/>
        <v>2859</v>
      </c>
      <c r="AJ17" s="307"/>
      <c r="AK17" s="261"/>
      <c r="AL17" s="303"/>
      <c r="AM17" s="306"/>
      <c r="AN17" s="303"/>
      <c r="AO17" s="306"/>
      <c r="AP17" s="303"/>
      <c r="AQ17" s="306"/>
      <c r="AR17" s="303"/>
      <c r="AS17" s="294"/>
      <c r="AT17" s="301"/>
      <c r="AU17" s="308"/>
      <c r="AV17" s="258">
        <f t="shared" si="10"/>
        <v>4040</v>
      </c>
      <c r="AW17" s="259"/>
      <c r="AX17" s="259">
        <v>258</v>
      </c>
      <c r="AY17" s="259">
        <v>403</v>
      </c>
      <c r="AZ17" s="261"/>
      <c r="BA17" s="303"/>
      <c r="BB17" s="306"/>
      <c r="BC17" s="262">
        <v>4839</v>
      </c>
      <c r="BD17" s="265"/>
      <c r="BE17" s="264">
        <f>-353+159</f>
        <v>-194</v>
      </c>
      <c r="BF17" s="265"/>
      <c r="BG17" s="413"/>
      <c r="BH17" s="265"/>
      <c r="BI17" s="267">
        <f t="shared" si="7"/>
        <v>640.1415073216605</v>
      </c>
      <c r="BJ17" s="307"/>
      <c r="BK17" s="232"/>
      <c r="BL17" s="307"/>
      <c r="BM17" s="309"/>
      <c r="BN17" s="310"/>
      <c r="BO17" s="232"/>
      <c r="BP17" s="307"/>
      <c r="BQ17" s="232"/>
      <c r="BR17" s="180"/>
      <c r="BS17" s="184"/>
      <c r="BT17" s="183"/>
      <c r="BU17" s="437"/>
      <c r="BV17" s="85"/>
      <c r="BW17" s="48">
        <f t="shared" si="8"/>
        <v>60592.14150732166</v>
      </c>
      <c r="BX17" s="86"/>
      <c r="BY17" s="70">
        <f t="shared" si="3"/>
        <v>-40946.45190732165</v>
      </c>
      <c r="CA17" s="463">
        <v>-42622</v>
      </c>
      <c r="CC17" s="100">
        <f t="shared" si="9"/>
        <v>1675.5480926783493</v>
      </c>
      <c r="CD17" s="134"/>
      <c r="CE17" s="130">
        <v>-56827.3459559536</v>
      </c>
      <c r="CF17" s="446"/>
      <c r="CG17" s="130">
        <v>-73753.27486975859</v>
      </c>
      <c r="CH17" s="134"/>
      <c r="CI17" s="130">
        <v>-37185.703752051435</v>
      </c>
      <c r="CJ17" s="134"/>
      <c r="CK17" s="148">
        <v>-30066.696520996426</v>
      </c>
      <c r="CL17" s="134"/>
      <c r="CM17" s="113">
        <v>-32147.36051862395</v>
      </c>
      <c r="CO17" s="113">
        <v>-29239.4097475682</v>
      </c>
      <c r="CQ17" s="77">
        <v>-21750.536022775792</v>
      </c>
      <c r="CS17" s="77">
        <v>-17267</v>
      </c>
    </row>
    <row r="18" spans="1:97" s="58" customFormat="1" ht="15.75">
      <c r="A18" s="96" t="s">
        <v>20</v>
      </c>
      <c r="B18" s="62" t="s">
        <v>28</v>
      </c>
      <c r="C18" s="65">
        <v>473</v>
      </c>
      <c r="D18" s="65">
        <v>4</v>
      </c>
      <c r="E18" s="65">
        <f t="shared" si="0"/>
        <v>477</v>
      </c>
      <c r="F18" s="452">
        <v>528</v>
      </c>
      <c r="G18"/>
      <c r="H18" s="106">
        <v>465</v>
      </c>
      <c r="I18" s="106">
        <v>4</v>
      </c>
      <c r="J18" s="106">
        <f t="shared" si="1"/>
        <v>469</v>
      </c>
      <c r="K18" s="408">
        <v>521</v>
      </c>
      <c r="L18" s="60"/>
      <c r="M18" s="97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101">
        <v>107209</v>
      </c>
      <c r="W18" s="98">
        <v>7625.162499999989</v>
      </c>
      <c r="X18" s="99">
        <f t="shared" si="5"/>
        <v>114834.16249999999</v>
      </c>
      <c r="Z18" s="301"/>
      <c r="AA18" s="18">
        <f t="shared" si="11"/>
        <v>954</v>
      </c>
      <c r="AB18" s="303"/>
      <c r="AC18" s="304">
        <v>4292</v>
      </c>
      <c r="AD18" s="305">
        <v>20790</v>
      </c>
      <c r="AE18" s="299">
        <v>1975</v>
      </c>
      <c r="AF18" s="303"/>
      <c r="AG18" s="306"/>
      <c r="AH18" s="301"/>
      <c r="AI18" s="194">
        <f t="shared" si="6"/>
        <v>1431</v>
      </c>
      <c r="AJ18" s="307"/>
      <c r="AK18" s="261"/>
      <c r="AL18" s="303"/>
      <c r="AM18" s="306"/>
      <c r="AN18" s="303"/>
      <c r="AO18" s="306"/>
      <c r="AP18" s="303"/>
      <c r="AQ18" s="306"/>
      <c r="AR18" s="303"/>
      <c r="AS18" s="294"/>
      <c r="AT18" s="301"/>
      <c r="AU18" s="308"/>
      <c r="AV18" s="258">
        <f t="shared" si="10"/>
        <v>2112</v>
      </c>
      <c r="AW18" s="259"/>
      <c r="AX18" s="259">
        <v>846</v>
      </c>
      <c r="AY18" s="259">
        <v>403</v>
      </c>
      <c r="AZ18" s="261"/>
      <c r="BA18" s="303"/>
      <c r="BB18" s="306"/>
      <c r="BC18" s="262">
        <f>278+61</f>
        <v>339</v>
      </c>
      <c r="BD18" s="311"/>
      <c r="BE18" s="312"/>
      <c r="BF18" s="311"/>
      <c r="BG18" s="419"/>
      <c r="BH18" s="311"/>
      <c r="BI18" s="267">
        <f t="shared" si="7"/>
        <v>320.4066096457839</v>
      </c>
      <c r="BJ18" s="307"/>
      <c r="BK18" s="232"/>
      <c r="BL18" s="307"/>
      <c r="BM18" s="309"/>
      <c r="BN18" s="310"/>
      <c r="BO18" s="232"/>
      <c r="BP18" s="307"/>
      <c r="BQ18" s="232"/>
      <c r="BR18" s="180"/>
      <c r="BS18" s="184"/>
      <c r="BT18" s="183"/>
      <c r="BU18" s="437"/>
      <c r="BV18" s="85"/>
      <c r="BW18" s="48">
        <f t="shared" si="8"/>
        <v>33462.40660964578</v>
      </c>
      <c r="BX18" s="86"/>
      <c r="BY18" s="70">
        <f t="shared" si="3"/>
        <v>81371.75589035421</v>
      </c>
      <c r="CA18" s="463">
        <v>60925</v>
      </c>
      <c r="CC18" s="100">
        <f t="shared" si="9"/>
        <v>20446.75589035421</v>
      </c>
      <c r="CD18" s="134"/>
      <c r="CE18" s="130">
        <v>81235.12958611347</v>
      </c>
      <c r="CF18" s="446"/>
      <c r="CG18" s="130">
        <v>73905.899684703</v>
      </c>
      <c r="CH18" s="134"/>
      <c r="CI18" s="130">
        <v>81683.33223100263</v>
      </c>
      <c r="CJ18" s="134"/>
      <c r="CK18" s="148">
        <v>82052.57442170818</v>
      </c>
      <c r="CL18" s="134"/>
      <c r="CM18" s="113">
        <v>82928.95965302491</v>
      </c>
      <c r="CO18" s="113">
        <v>86216.1399614472</v>
      </c>
      <c r="CQ18" s="77">
        <v>80530.86125444839</v>
      </c>
      <c r="CS18" s="77">
        <v>80240</v>
      </c>
    </row>
    <row r="19" spans="1:97" s="58" customFormat="1" ht="15.75">
      <c r="A19" s="96" t="s">
        <v>20</v>
      </c>
      <c r="B19" s="65" t="s">
        <v>29</v>
      </c>
      <c r="C19" s="65">
        <v>1273</v>
      </c>
      <c r="D19" s="65">
        <v>16</v>
      </c>
      <c r="E19" s="65">
        <f t="shared" si="0"/>
        <v>1289</v>
      </c>
      <c r="F19" s="452">
        <v>1498</v>
      </c>
      <c r="G19"/>
      <c r="H19" s="106">
        <v>1291</v>
      </c>
      <c r="I19" s="106">
        <v>17</v>
      </c>
      <c r="J19" s="106">
        <f t="shared" si="1"/>
        <v>1308</v>
      </c>
      <c r="K19" s="408">
        <v>1532</v>
      </c>
      <c r="L19" s="60"/>
      <c r="M19" s="97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101">
        <v>60521</v>
      </c>
      <c r="W19" s="98">
        <v>22315.34590000001</v>
      </c>
      <c r="X19" s="99">
        <f t="shared" si="5"/>
        <v>82836.34590000001</v>
      </c>
      <c r="Z19" s="301"/>
      <c r="AA19" s="18">
        <f t="shared" si="11"/>
        <v>2578</v>
      </c>
      <c r="AB19" s="303"/>
      <c r="AC19" s="304">
        <v>6954</v>
      </c>
      <c r="AD19" s="305">
        <v>38894</v>
      </c>
      <c r="AE19" s="299">
        <v>1975</v>
      </c>
      <c r="AF19" s="303"/>
      <c r="AG19" s="306"/>
      <c r="AH19" s="301"/>
      <c r="AI19" s="194">
        <f t="shared" si="6"/>
        <v>3867</v>
      </c>
      <c r="AJ19" s="307">
        <v>8112</v>
      </c>
      <c r="AK19" s="261">
        <v>54122</v>
      </c>
      <c r="AL19" s="303"/>
      <c r="AM19" s="306"/>
      <c r="AN19" s="303"/>
      <c r="AO19" s="306"/>
      <c r="AP19" s="303"/>
      <c r="AQ19" s="306"/>
      <c r="AR19" s="303"/>
      <c r="AS19" s="294"/>
      <c r="AT19" s="301"/>
      <c r="AU19" s="308"/>
      <c r="AV19" s="258">
        <f t="shared" si="10"/>
        <v>5992</v>
      </c>
      <c r="AW19" s="259">
        <v>-4179</v>
      </c>
      <c r="AX19" s="259">
        <v>357</v>
      </c>
      <c r="AY19" s="259">
        <v>695</v>
      </c>
      <c r="AZ19" s="261"/>
      <c r="BA19" s="303"/>
      <c r="BB19" s="306"/>
      <c r="BC19" s="262">
        <f>20025-200</f>
        <v>19825</v>
      </c>
      <c r="BD19" s="265">
        <v>-3000</v>
      </c>
      <c r="BE19" s="313">
        <f>5542+35</f>
        <v>5577</v>
      </c>
      <c r="BF19" s="314"/>
      <c r="BG19" s="422"/>
      <c r="BH19" s="314"/>
      <c r="BI19" s="267">
        <f t="shared" si="7"/>
        <v>865.8367292105146</v>
      </c>
      <c r="BJ19" s="307"/>
      <c r="BK19" s="232"/>
      <c r="BL19" s="307"/>
      <c r="BM19" s="309"/>
      <c r="BN19" s="310"/>
      <c r="BO19" s="232"/>
      <c r="BP19" s="307"/>
      <c r="BQ19" s="232"/>
      <c r="BR19" s="180"/>
      <c r="BS19" s="184"/>
      <c r="BT19" s="183"/>
      <c r="BU19" s="437"/>
      <c r="BV19" s="85"/>
      <c r="BW19" s="48">
        <f t="shared" si="8"/>
        <v>142634.8367292105</v>
      </c>
      <c r="BX19" s="86"/>
      <c r="BY19" s="70">
        <f t="shared" si="3"/>
        <v>-59798.490829210496</v>
      </c>
      <c r="CA19" s="463">
        <v>-41482</v>
      </c>
      <c r="CC19" s="100">
        <f t="shared" si="9"/>
        <v>-18316.490829210496</v>
      </c>
      <c r="CD19" s="134"/>
      <c r="CE19" s="130">
        <v>-55309.25335663874</v>
      </c>
      <c r="CF19" s="446"/>
      <c r="CG19" s="130">
        <v>-40769.861585760766</v>
      </c>
      <c r="CH19" s="134"/>
      <c r="CI19" s="130">
        <v>-47596.38772920024</v>
      </c>
      <c r="CJ19" s="134"/>
      <c r="CK19" s="148">
        <v>-58748.58559466191</v>
      </c>
      <c r="CL19" s="134"/>
      <c r="CM19" s="113">
        <v>-9700.318394187416</v>
      </c>
      <c r="CO19" s="113">
        <v>18866.507821708197</v>
      </c>
      <c r="CQ19" s="77">
        <v>19282.937839388665</v>
      </c>
      <c r="CS19" s="77">
        <v>17584</v>
      </c>
    </row>
    <row r="20" spans="1:97" s="58" customFormat="1" ht="15.75">
      <c r="A20" s="96" t="s">
        <v>20</v>
      </c>
      <c r="B20" s="62" t="s">
        <v>30</v>
      </c>
      <c r="C20" s="65">
        <v>1213</v>
      </c>
      <c r="D20" s="65">
        <v>20</v>
      </c>
      <c r="E20" s="65">
        <f t="shared" si="0"/>
        <v>1233</v>
      </c>
      <c r="F20" s="452">
        <v>1331</v>
      </c>
      <c r="G20"/>
      <c r="H20" s="106">
        <v>1192</v>
      </c>
      <c r="I20" s="106">
        <v>18</v>
      </c>
      <c r="J20" s="106">
        <f t="shared" si="1"/>
        <v>1210</v>
      </c>
      <c r="K20" s="408">
        <v>1306</v>
      </c>
      <c r="L20" s="60"/>
      <c r="M20" s="97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101">
        <v>47430</v>
      </c>
      <c r="W20" s="98">
        <v>16149.867500000008</v>
      </c>
      <c r="X20" s="99">
        <f t="shared" si="5"/>
        <v>63579.86750000001</v>
      </c>
      <c r="Z20" s="301"/>
      <c r="AA20" s="18">
        <f t="shared" si="11"/>
        <v>2466</v>
      </c>
      <c r="AB20" s="303"/>
      <c r="AC20" s="304">
        <v>3088</v>
      </c>
      <c r="AD20" s="305">
        <v>41936</v>
      </c>
      <c r="AE20" s="299">
        <v>1975</v>
      </c>
      <c r="AF20" s="303"/>
      <c r="AG20" s="306"/>
      <c r="AH20" s="301"/>
      <c r="AI20" s="194">
        <f t="shared" si="6"/>
        <v>3699</v>
      </c>
      <c r="AJ20" s="307"/>
      <c r="AK20" s="261">
        <v>53200</v>
      </c>
      <c r="AL20" s="303"/>
      <c r="AM20" s="306"/>
      <c r="AN20" s="303"/>
      <c r="AO20" s="306"/>
      <c r="AP20" s="303"/>
      <c r="AQ20" s="306"/>
      <c r="AR20" s="303"/>
      <c r="AS20" s="294"/>
      <c r="AT20" s="301"/>
      <c r="AU20" s="308"/>
      <c r="AV20" s="258">
        <f t="shared" si="10"/>
        <v>5324</v>
      </c>
      <c r="AW20" s="259">
        <v>-1492</v>
      </c>
      <c r="AX20" s="259">
        <v>1514</v>
      </c>
      <c r="AY20" s="259">
        <v>695</v>
      </c>
      <c r="AZ20" s="261"/>
      <c r="BA20" s="303"/>
      <c r="BB20" s="306"/>
      <c r="BC20" s="262">
        <f>8712+691</f>
        <v>9403</v>
      </c>
      <c r="BD20" s="265"/>
      <c r="BE20" s="313">
        <f>5618-143+318</f>
        <v>5793</v>
      </c>
      <c r="BF20" s="314">
        <v>-3000</v>
      </c>
      <c r="BG20" s="416"/>
      <c r="BH20" s="314"/>
      <c r="BI20" s="267">
        <f t="shared" si="7"/>
        <v>828.2208588957055</v>
      </c>
      <c r="BJ20" s="307"/>
      <c r="BK20" s="232"/>
      <c r="BL20" s="307"/>
      <c r="BM20" s="309"/>
      <c r="BN20" s="310"/>
      <c r="BO20" s="232"/>
      <c r="BP20" s="307"/>
      <c r="BQ20" s="232"/>
      <c r="BR20" s="180"/>
      <c r="BS20" s="184"/>
      <c r="BT20" s="183"/>
      <c r="BU20" s="437"/>
      <c r="BV20" s="85"/>
      <c r="BW20" s="48">
        <f t="shared" si="8"/>
        <v>125429.2208588957</v>
      </c>
      <c r="BX20" s="86"/>
      <c r="BY20" s="70">
        <f t="shared" si="3"/>
        <v>-61849.35335889569</v>
      </c>
      <c r="CA20" s="463">
        <v>-45049</v>
      </c>
      <c r="CC20" s="100">
        <f t="shared" si="9"/>
        <v>-16800.353358895693</v>
      </c>
      <c r="CD20" s="134"/>
      <c r="CE20" s="130">
        <v>-60201.903983587836</v>
      </c>
      <c r="CF20" s="446"/>
      <c r="CG20" s="130">
        <v>-67822.12409208027</v>
      </c>
      <c r="CH20" s="134"/>
      <c r="CI20" s="130">
        <v>-52058.162479168546</v>
      </c>
      <c r="CJ20" s="134"/>
      <c r="CK20" s="148">
        <v>-56594.478881969146</v>
      </c>
      <c r="CL20" s="134"/>
      <c r="CM20" s="113">
        <v>-53165.478881969146</v>
      </c>
      <c r="CO20" s="113">
        <v>-44976.919866548036</v>
      </c>
      <c r="CQ20" s="77">
        <v>-52724.593260195354</v>
      </c>
      <c r="CS20" s="77">
        <v>-51052</v>
      </c>
    </row>
    <row r="21" spans="1:97" s="58" customFormat="1" ht="15.75">
      <c r="A21" s="96" t="s">
        <v>20</v>
      </c>
      <c r="B21" s="62" t="s">
        <v>31</v>
      </c>
      <c r="C21" s="65">
        <v>550</v>
      </c>
      <c r="D21" s="65">
        <v>10</v>
      </c>
      <c r="E21" s="65">
        <f t="shared" si="0"/>
        <v>560</v>
      </c>
      <c r="F21" s="452">
        <v>595</v>
      </c>
      <c r="G21"/>
      <c r="H21" s="106">
        <v>546</v>
      </c>
      <c r="I21" s="106">
        <v>10</v>
      </c>
      <c r="J21" s="106">
        <f t="shared" si="1"/>
        <v>556</v>
      </c>
      <c r="K21" s="408">
        <v>591</v>
      </c>
      <c r="L21" s="60"/>
      <c r="M21" s="97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101">
        <v>115990</v>
      </c>
      <c r="W21" s="98">
        <v>8295.277999999986</v>
      </c>
      <c r="X21" s="99">
        <f t="shared" si="5"/>
        <v>124285.27799999999</v>
      </c>
      <c r="Z21" s="301"/>
      <c r="AA21" s="18">
        <f t="shared" si="11"/>
        <v>1120</v>
      </c>
      <c r="AB21" s="303"/>
      <c r="AC21" s="304"/>
      <c r="AD21" s="305">
        <v>14052</v>
      </c>
      <c r="AE21" s="299">
        <v>1975</v>
      </c>
      <c r="AF21" s="303"/>
      <c r="AG21" s="306"/>
      <c r="AH21" s="301"/>
      <c r="AI21" s="194">
        <f t="shared" si="6"/>
        <v>1680</v>
      </c>
      <c r="AJ21" s="307"/>
      <c r="AK21" s="261"/>
      <c r="AL21" s="303"/>
      <c r="AM21" s="306"/>
      <c r="AN21" s="303"/>
      <c r="AO21" s="306"/>
      <c r="AP21" s="303"/>
      <c r="AQ21" s="306"/>
      <c r="AR21" s="303"/>
      <c r="AS21" s="294"/>
      <c r="AT21" s="301"/>
      <c r="AU21" s="308"/>
      <c r="AV21" s="258">
        <f t="shared" si="10"/>
        <v>2380</v>
      </c>
      <c r="AW21" s="259">
        <v>-381</v>
      </c>
      <c r="AX21" s="259">
        <v>397</v>
      </c>
      <c r="AY21" s="259">
        <f>1317-622</f>
        <v>695</v>
      </c>
      <c r="AZ21" s="261"/>
      <c r="BA21" s="303"/>
      <c r="BB21" s="306"/>
      <c r="BC21" s="262">
        <v>4221</v>
      </c>
      <c r="BD21" s="265"/>
      <c r="BE21" s="313">
        <v>4269</v>
      </c>
      <c r="BF21" s="314"/>
      <c r="BG21" s="416"/>
      <c r="BH21" s="314"/>
      <c r="BI21" s="267">
        <f t="shared" si="7"/>
        <v>376.1587031480901</v>
      </c>
      <c r="BJ21" s="307"/>
      <c r="BK21" s="232"/>
      <c r="BL21" s="307"/>
      <c r="BM21" s="309"/>
      <c r="BN21" s="310"/>
      <c r="BO21" s="232"/>
      <c r="BP21" s="307"/>
      <c r="BQ21" s="232"/>
      <c r="BR21" s="180"/>
      <c r="BS21" s="184"/>
      <c r="BT21" s="183"/>
      <c r="BU21" s="437"/>
      <c r="BV21" s="85"/>
      <c r="BW21" s="48">
        <f t="shared" si="8"/>
        <v>30784.15870314809</v>
      </c>
      <c r="BX21" s="86"/>
      <c r="BY21" s="70">
        <f t="shared" si="3"/>
        <v>93501.1192968519</v>
      </c>
      <c r="CA21" s="463">
        <v>70034</v>
      </c>
      <c r="CC21" s="100">
        <f t="shared" si="9"/>
        <v>23467.119296851903</v>
      </c>
      <c r="CD21" s="134"/>
      <c r="CE21" s="130">
        <v>93256.80614473153</v>
      </c>
      <c r="CF21" s="446"/>
      <c r="CG21" s="130">
        <v>97268.95578681855</v>
      </c>
      <c r="CH21" s="134"/>
      <c r="CI21" s="130">
        <v>99932.02910950095</v>
      </c>
      <c r="CJ21" s="134"/>
      <c r="CK21" s="148">
        <v>97032.85065717674</v>
      </c>
      <c r="CL21" s="134"/>
      <c r="CM21" s="206">
        <v>99716.0867188612</v>
      </c>
      <c r="CO21" s="113">
        <v>102005.99982680901</v>
      </c>
      <c r="CQ21" s="77">
        <v>94744.06283504158</v>
      </c>
      <c r="CS21" s="77">
        <v>93116</v>
      </c>
    </row>
    <row r="22" spans="1:97" s="58" customFormat="1" ht="15.75">
      <c r="A22" s="96" t="s">
        <v>20</v>
      </c>
      <c r="B22" s="62" t="s">
        <v>32</v>
      </c>
      <c r="C22" s="65">
        <v>11248</v>
      </c>
      <c r="D22" s="65">
        <v>201</v>
      </c>
      <c r="E22" s="65">
        <f t="shared" si="0"/>
        <v>11449</v>
      </c>
      <c r="F22" s="452">
        <v>11565</v>
      </c>
      <c r="G22"/>
      <c r="H22" s="106">
        <v>11168</v>
      </c>
      <c r="I22" s="106">
        <v>164</v>
      </c>
      <c r="J22" s="106">
        <f t="shared" si="1"/>
        <v>11332</v>
      </c>
      <c r="K22" s="408">
        <v>11447</v>
      </c>
      <c r="L22" s="60"/>
      <c r="M22" s="97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101">
        <v>2509344</v>
      </c>
      <c r="W22" s="98">
        <v>210976.60629999902</v>
      </c>
      <c r="X22" s="99">
        <f t="shared" si="5"/>
        <v>2720320.606299999</v>
      </c>
      <c r="Z22" s="301"/>
      <c r="AA22" s="18">
        <f t="shared" si="11"/>
        <v>22898</v>
      </c>
      <c r="AB22" s="303"/>
      <c r="AC22" s="304"/>
      <c r="AD22" s="305">
        <v>157575</v>
      </c>
      <c r="AE22" s="299">
        <v>1978</v>
      </c>
      <c r="AF22" s="315"/>
      <c r="AG22" s="430">
        <f>152193+172044</f>
        <v>324237</v>
      </c>
      <c r="AH22" s="301"/>
      <c r="AI22" s="194">
        <f t="shared" si="6"/>
        <v>34347</v>
      </c>
      <c r="AJ22" s="307"/>
      <c r="AK22" s="261">
        <f>136900+167820</f>
        <v>304720</v>
      </c>
      <c r="AL22" s="303"/>
      <c r="AM22" s="306"/>
      <c r="AN22" s="303"/>
      <c r="AO22" s="306"/>
      <c r="AP22" s="303"/>
      <c r="AQ22" s="306"/>
      <c r="AR22" s="303"/>
      <c r="AS22" s="294"/>
      <c r="AT22" s="301"/>
      <c r="AU22" s="308"/>
      <c r="AV22" s="258">
        <f t="shared" si="10"/>
        <v>46260</v>
      </c>
      <c r="AW22" s="259">
        <f>-11009-170</f>
        <v>-11179</v>
      </c>
      <c r="AX22" s="259">
        <v>706</v>
      </c>
      <c r="AY22" s="259">
        <v>2396</v>
      </c>
      <c r="AZ22" s="261"/>
      <c r="BA22" s="303"/>
      <c r="BB22" s="306"/>
      <c r="BC22" s="262">
        <v>39373</v>
      </c>
      <c r="BD22" s="263"/>
      <c r="BE22" s="264"/>
      <c r="BF22" s="265"/>
      <c r="BG22" s="423">
        <f>43100*0.6</f>
        <v>25860</v>
      </c>
      <c r="BH22" s="265">
        <v>118177</v>
      </c>
      <c r="BI22" s="267">
        <v>15000</v>
      </c>
      <c r="BJ22" s="307"/>
      <c r="BK22" s="232"/>
      <c r="BL22" s="307"/>
      <c r="BM22" s="309"/>
      <c r="BN22" s="310"/>
      <c r="BO22" s="232"/>
      <c r="BP22" s="307"/>
      <c r="BQ22" s="232"/>
      <c r="BR22" s="180"/>
      <c r="BS22" s="184"/>
      <c r="BT22" s="183"/>
      <c r="BU22" s="437"/>
      <c r="BV22" s="85"/>
      <c r="BW22" s="48">
        <f t="shared" si="8"/>
        <v>1082348</v>
      </c>
      <c r="BX22" s="86"/>
      <c r="BY22" s="70">
        <f t="shared" si="3"/>
        <v>1637972.6062999992</v>
      </c>
      <c r="CA22" s="463">
        <v>1279271</v>
      </c>
      <c r="CC22" s="100">
        <f t="shared" si="9"/>
        <v>358701.60629999917</v>
      </c>
      <c r="CD22" s="134"/>
      <c r="CE22" s="130">
        <v>1705699.6062999992</v>
      </c>
      <c r="CF22" s="446"/>
      <c r="CG22" s="130">
        <v>1717509.6062999992</v>
      </c>
      <c r="CH22" s="134"/>
      <c r="CI22" s="130">
        <v>1975195.6062999992</v>
      </c>
      <c r="CJ22" s="134"/>
      <c r="CK22" s="148">
        <v>2149274.606299999</v>
      </c>
      <c r="CL22" s="134"/>
      <c r="CM22" s="116">
        <v>2337458.606299999</v>
      </c>
      <c r="CO22" s="113">
        <v>2386229.816299999</v>
      </c>
      <c r="CQ22" s="77">
        <v>2354689.606299999</v>
      </c>
      <c r="CS22" s="77">
        <v>2360508</v>
      </c>
    </row>
    <row r="23" spans="1:97" s="58" customFormat="1" ht="15.75">
      <c r="A23" s="96" t="s">
        <v>20</v>
      </c>
      <c r="B23" s="62" t="s">
        <v>33</v>
      </c>
      <c r="C23" s="65">
        <v>1138</v>
      </c>
      <c r="D23" s="65">
        <v>10</v>
      </c>
      <c r="E23" s="65">
        <f t="shared" si="0"/>
        <v>1148</v>
      </c>
      <c r="F23" s="452">
        <v>1191</v>
      </c>
      <c r="G23"/>
      <c r="H23" s="106">
        <v>1144</v>
      </c>
      <c r="I23" s="106">
        <v>10</v>
      </c>
      <c r="J23" s="106">
        <f t="shared" si="1"/>
        <v>1154</v>
      </c>
      <c r="K23" s="408">
        <v>1196</v>
      </c>
      <c r="L23" s="60"/>
      <c r="M23" s="97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101">
        <v>79857</v>
      </c>
      <c r="W23" s="98">
        <v>16416.944599999966</v>
      </c>
      <c r="X23" s="99">
        <f t="shared" si="5"/>
        <v>96273.94459999996</v>
      </c>
      <c r="Z23" s="301"/>
      <c r="AA23" s="18">
        <f t="shared" si="11"/>
        <v>2296</v>
      </c>
      <c r="AB23" s="303"/>
      <c r="AC23" s="304">
        <v>3921</v>
      </c>
      <c r="AD23" s="305">
        <v>37731</v>
      </c>
      <c r="AE23" s="299">
        <v>1975</v>
      </c>
      <c r="AF23" s="303"/>
      <c r="AG23" s="306"/>
      <c r="AH23" s="301"/>
      <c r="AI23" s="194">
        <f t="shared" si="6"/>
        <v>3444</v>
      </c>
      <c r="AJ23" s="307"/>
      <c r="AK23" s="232"/>
      <c r="AL23" s="303"/>
      <c r="AM23" s="306"/>
      <c r="AN23" s="303"/>
      <c r="AO23" s="306"/>
      <c r="AP23" s="303"/>
      <c r="AQ23" s="306"/>
      <c r="AR23" s="303"/>
      <c r="AS23" s="294"/>
      <c r="AT23" s="301"/>
      <c r="AU23" s="308"/>
      <c r="AV23" s="258">
        <f t="shared" si="10"/>
        <v>4764</v>
      </c>
      <c r="AW23" s="259"/>
      <c r="AX23" s="259">
        <v>438</v>
      </c>
      <c r="AY23" s="259">
        <v>403</v>
      </c>
      <c r="AZ23" s="316"/>
      <c r="BA23" s="303"/>
      <c r="BB23" s="306"/>
      <c r="BC23" s="262">
        <f>3588+7955</f>
        <v>11543</v>
      </c>
      <c r="BD23" s="263"/>
      <c r="BE23" s="264">
        <f>-245+1620</f>
        <v>1375</v>
      </c>
      <c r="BF23" s="265"/>
      <c r="BG23" s="413"/>
      <c r="BH23" s="265"/>
      <c r="BI23" s="267">
        <f t="shared" si="7"/>
        <v>771.1253414535847</v>
      </c>
      <c r="BJ23" s="307"/>
      <c r="BK23" s="232"/>
      <c r="BL23" s="307"/>
      <c r="BM23" s="309"/>
      <c r="BN23" s="310"/>
      <c r="BO23" s="232"/>
      <c r="BP23" s="307"/>
      <c r="BQ23" s="232"/>
      <c r="BR23" s="180"/>
      <c r="BS23" s="184"/>
      <c r="BT23" s="183"/>
      <c r="BU23" s="437"/>
      <c r="BV23" s="85"/>
      <c r="BW23" s="48">
        <f t="shared" si="8"/>
        <v>68661.12534145359</v>
      </c>
      <c r="BX23" s="86"/>
      <c r="BY23" s="70">
        <f t="shared" si="3"/>
        <v>27612.81925854637</v>
      </c>
      <c r="CA23" s="463">
        <v>22172</v>
      </c>
      <c r="CC23" s="100">
        <f t="shared" si="9"/>
        <v>5440.819258546369</v>
      </c>
      <c r="CD23" s="134"/>
      <c r="CE23" s="130">
        <v>29563.788986726926</v>
      </c>
      <c r="CF23" s="446"/>
      <c r="CG23" s="130">
        <v>17335.499793924566</v>
      </c>
      <c r="CH23" s="134"/>
      <c r="CI23" s="130">
        <v>33158.48250417531</v>
      </c>
      <c r="CJ23" s="134"/>
      <c r="CK23" s="148">
        <v>38401.84080403317</v>
      </c>
      <c r="CL23" s="134"/>
      <c r="CM23" s="113">
        <v>46154.667019928784</v>
      </c>
      <c r="CO23" s="113">
        <v>46960.4932358244</v>
      </c>
      <c r="CQ23" s="77">
        <v>42364.88991435346</v>
      </c>
      <c r="CS23" s="77">
        <v>52180</v>
      </c>
    </row>
    <row r="24" spans="1:97" s="58" customFormat="1" ht="15.75">
      <c r="A24" s="96" t="s">
        <v>20</v>
      </c>
      <c r="B24" s="62" t="s">
        <v>34</v>
      </c>
      <c r="C24" s="65">
        <v>319</v>
      </c>
      <c r="D24" s="65">
        <v>1</v>
      </c>
      <c r="E24" s="65">
        <f t="shared" si="0"/>
        <v>320</v>
      </c>
      <c r="F24" s="452">
        <v>397</v>
      </c>
      <c r="G24"/>
      <c r="H24" s="106">
        <v>309</v>
      </c>
      <c r="I24" s="106">
        <v>2</v>
      </c>
      <c r="J24" s="106">
        <f t="shared" si="1"/>
        <v>311</v>
      </c>
      <c r="K24" s="408">
        <v>387</v>
      </c>
      <c r="L24" s="60"/>
      <c r="M24" s="97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101">
        <v>5335</v>
      </c>
      <c r="W24" s="98">
        <v>6641.206799999971</v>
      </c>
      <c r="X24" s="99">
        <f t="shared" si="5"/>
        <v>11976.20679999997</v>
      </c>
      <c r="Z24" s="301"/>
      <c r="AA24" s="18">
        <f t="shared" si="11"/>
        <v>640</v>
      </c>
      <c r="AB24" s="303"/>
      <c r="AC24" s="304">
        <v>1804</v>
      </c>
      <c r="AD24" s="305">
        <v>29910</v>
      </c>
      <c r="AE24" s="299">
        <v>1975</v>
      </c>
      <c r="AF24" s="303"/>
      <c r="AG24" s="306"/>
      <c r="AH24" s="301"/>
      <c r="AI24" s="194">
        <f t="shared" si="6"/>
        <v>960</v>
      </c>
      <c r="AJ24" s="307"/>
      <c r="AK24" s="232"/>
      <c r="AL24" s="303"/>
      <c r="AM24" s="306"/>
      <c r="AN24" s="303"/>
      <c r="AO24" s="306"/>
      <c r="AP24" s="303"/>
      <c r="AQ24" s="306"/>
      <c r="AR24" s="303"/>
      <c r="AS24" s="294"/>
      <c r="AT24" s="301"/>
      <c r="AU24" s="308"/>
      <c r="AV24" s="295">
        <f t="shared" si="10"/>
        <v>1588</v>
      </c>
      <c r="AW24" s="264">
        <v>-626</v>
      </c>
      <c r="AX24" s="264">
        <v>347</v>
      </c>
      <c r="AY24" s="264">
        <v>695</v>
      </c>
      <c r="AZ24" s="261"/>
      <c r="BA24" s="303"/>
      <c r="BB24" s="306"/>
      <c r="BC24" s="262">
        <v>1730</v>
      </c>
      <c r="BD24" s="263"/>
      <c r="BE24" s="264"/>
      <c r="BF24" s="265"/>
      <c r="BG24" s="413"/>
      <c r="BH24" s="265"/>
      <c r="BI24" s="267">
        <f t="shared" si="7"/>
        <v>214.94783037033721</v>
      </c>
      <c r="BJ24" s="307"/>
      <c r="BK24" s="232"/>
      <c r="BL24" s="307"/>
      <c r="BM24" s="309"/>
      <c r="BN24" s="310"/>
      <c r="BO24" s="232"/>
      <c r="BP24" s="307"/>
      <c r="BQ24" s="232"/>
      <c r="BR24" s="180"/>
      <c r="BS24" s="184"/>
      <c r="BT24" s="183"/>
      <c r="BU24" s="437"/>
      <c r="BV24" s="85"/>
      <c r="BW24" s="48">
        <f t="shared" si="8"/>
        <v>39237.947830370336</v>
      </c>
      <c r="BX24" s="86"/>
      <c r="BY24" s="70">
        <f t="shared" si="3"/>
        <v>-27261.741030370365</v>
      </c>
      <c r="CA24" s="463">
        <v>-25094</v>
      </c>
      <c r="CC24" s="100">
        <f t="shared" si="9"/>
        <v>-2167.7410303703655</v>
      </c>
      <c r="CD24" s="134"/>
      <c r="CE24" s="130">
        <v>-33457.6956226412</v>
      </c>
      <c r="CF24" s="446"/>
      <c r="CG24" s="130">
        <v>-24754.313134906457</v>
      </c>
      <c r="CH24" s="134"/>
      <c r="CI24" s="130">
        <v>-23002.692665628143</v>
      </c>
      <c r="CJ24" s="134"/>
      <c r="CK24" s="148">
        <v>-20954.883057651277</v>
      </c>
      <c r="CL24" s="134"/>
      <c r="CM24" s="113">
        <v>-21153.678134756847</v>
      </c>
      <c r="CO24" s="113">
        <v>-16901.709273546887</v>
      </c>
      <c r="CQ24" s="77">
        <v>-17863.263366073577</v>
      </c>
      <c r="CS24" s="77">
        <v>-12357</v>
      </c>
    </row>
    <row r="25" spans="1:97" s="58" customFormat="1" ht="15.75">
      <c r="A25" s="96" t="s">
        <v>20</v>
      </c>
      <c r="B25" s="62" t="s">
        <v>35</v>
      </c>
      <c r="C25" s="65">
        <v>608</v>
      </c>
      <c r="D25" s="65">
        <v>12</v>
      </c>
      <c r="E25" s="65">
        <f t="shared" si="0"/>
        <v>620</v>
      </c>
      <c r="F25" s="452">
        <v>723</v>
      </c>
      <c r="G25"/>
      <c r="H25" s="106">
        <v>594</v>
      </c>
      <c r="I25" s="106">
        <v>12</v>
      </c>
      <c r="J25" s="106">
        <f t="shared" si="1"/>
        <v>606</v>
      </c>
      <c r="K25" s="408">
        <v>710</v>
      </c>
      <c r="L25" s="60"/>
      <c r="M25" s="97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101">
        <v>8243</v>
      </c>
      <c r="W25" s="98">
        <v>8986.642000000023</v>
      </c>
      <c r="X25" s="99">
        <f t="shared" si="5"/>
        <v>17229.64200000002</v>
      </c>
      <c r="Z25" s="301"/>
      <c r="AA25" s="18">
        <f t="shared" si="11"/>
        <v>1240</v>
      </c>
      <c r="AB25" s="303"/>
      <c r="AC25" s="304"/>
      <c r="AD25" s="305">
        <v>31594</v>
      </c>
      <c r="AE25" s="299">
        <v>1975</v>
      </c>
      <c r="AF25" s="303"/>
      <c r="AG25" s="306"/>
      <c r="AH25" s="301"/>
      <c r="AI25" s="194">
        <f t="shared" si="6"/>
        <v>1860</v>
      </c>
      <c r="AJ25" s="307"/>
      <c r="AK25" s="232"/>
      <c r="AL25" s="303"/>
      <c r="AM25" s="306"/>
      <c r="AN25" s="303"/>
      <c r="AO25" s="306"/>
      <c r="AP25" s="303"/>
      <c r="AQ25" s="306"/>
      <c r="AR25" s="303"/>
      <c r="AS25" s="294"/>
      <c r="AT25" s="301"/>
      <c r="AU25" s="308"/>
      <c r="AV25" s="258">
        <f t="shared" si="10"/>
        <v>2892</v>
      </c>
      <c r="AW25" s="259">
        <v>-334</v>
      </c>
      <c r="AX25" s="259">
        <v>755</v>
      </c>
      <c r="AY25" s="259">
        <v>403</v>
      </c>
      <c r="AZ25" s="261"/>
      <c r="BA25" s="303"/>
      <c r="BB25" s="306"/>
      <c r="BC25" s="262">
        <f>854+1718</f>
        <v>2572</v>
      </c>
      <c r="BD25" s="263"/>
      <c r="BE25" s="264"/>
      <c r="BF25" s="265"/>
      <c r="BG25" s="413"/>
      <c r="BH25" s="265"/>
      <c r="BI25" s="267">
        <f t="shared" si="7"/>
        <v>416.46142134252835</v>
      </c>
      <c r="BJ25" s="307"/>
      <c r="BK25" s="232"/>
      <c r="BL25" s="307"/>
      <c r="BM25" s="309"/>
      <c r="BN25" s="310"/>
      <c r="BO25" s="232"/>
      <c r="BP25" s="307"/>
      <c r="BQ25" s="232"/>
      <c r="BR25" s="180"/>
      <c r="BS25" s="184"/>
      <c r="BT25" s="183"/>
      <c r="BU25" s="437"/>
      <c r="BV25" s="85"/>
      <c r="BW25" s="48">
        <f t="shared" si="8"/>
        <v>43373.46142134253</v>
      </c>
      <c r="BX25" s="86"/>
      <c r="BY25" s="70">
        <f t="shared" si="3"/>
        <v>-26143.81942134251</v>
      </c>
      <c r="CA25" s="463">
        <v>-21932</v>
      </c>
      <c r="CC25" s="100">
        <f t="shared" si="9"/>
        <v>-4211.819421342509</v>
      </c>
      <c r="CD25" s="134"/>
      <c r="CE25" s="130">
        <v>-29243.415453763802</v>
      </c>
      <c r="CF25" s="446"/>
      <c r="CG25" s="130">
        <v>-22295.090302685086</v>
      </c>
      <c r="CH25" s="134"/>
      <c r="CI25" s="130">
        <v>-21654.871902726183</v>
      </c>
      <c r="CJ25" s="134"/>
      <c r="CK25" s="148">
        <v>-22703.965651245533</v>
      </c>
      <c r="CL25" s="134"/>
      <c r="CM25" s="113">
        <v>-23541.493527876606</v>
      </c>
      <c r="CO25" s="113">
        <v>-21671.99026571765</v>
      </c>
      <c r="CQ25" s="77">
        <v>-20526.40503440093</v>
      </c>
      <c r="CS25" s="77">
        <v>-18248</v>
      </c>
    </row>
    <row r="26" spans="1:97" s="58" customFormat="1" ht="15.75">
      <c r="A26" s="96" t="s">
        <v>20</v>
      </c>
      <c r="B26" s="62" t="s">
        <v>36</v>
      </c>
      <c r="C26" s="65">
        <v>1154</v>
      </c>
      <c r="D26" s="65">
        <v>26</v>
      </c>
      <c r="E26" s="65">
        <f t="shared" si="0"/>
        <v>1180</v>
      </c>
      <c r="F26" s="452">
        <v>1249</v>
      </c>
      <c r="G26"/>
      <c r="H26" s="106">
        <v>1181</v>
      </c>
      <c r="I26" s="106">
        <v>26</v>
      </c>
      <c r="J26" s="106">
        <f t="shared" si="1"/>
        <v>1207</v>
      </c>
      <c r="K26" s="408">
        <v>1291</v>
      </c>
      <c r="L26" s="60"/>
      <c r="M26" s="97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101">
        <v>94625</v>
      </c>
      <c r="W26" s="98">
        <v>18264.410199999977</v>
      </c>
      <c r="X26" s="99">
        <f t="shared" si="5"/>
        <v>112889.41019999998</v>
      </c>
      <c r="Z26" s="301"/>
      <c r="AA26" s="18">
        <f t="shared" si="11"/>
        <v>2360</v>
      </c>
      <c r="AB26" s="303"/>
      <c r="AC26" s="304">
        <v>8814</v>
      </c>
      <c r="AD26" s="305">
        <v>43735</v>
      </c>
      <c r="AE26" s="299">
        <v>1975</v>
      </c>
      <c r="AF26" s="303"/>
      <c r="AG26" s="306"/>
      <c r="AH26" s="301"/>
      <c r="AI26" s="194">
        <f t="shared" si="6"/>
        <v>3540</v>
      </c>
      <c r="AJ26" s="307"/>
      <c r="AK26" s="232"/>
      <c r="AL26" s="303"/>
      <c r="AM26" s="306"/>
      <c r="AN26" s="303"/>
      <c r="AO26" s="306"/>
      <c r="AP26" s="303"/>
      <c r="AQ26" s="306"/>
      <c r="AR26" s="303"/>
      <c r="AS26" s="294"/>
      <c r="AT26" s="301"/>
      <c r="AU26" s="308"/>
      <c r="AV26" s="258">
        <f t="shared" si="10"/>
        <v>4996</v>
      </c>
      <c r="AW26" s="259">
        <v>-1499</v>
      </c>
      <c r="AX26" s="259">
        <v>496</v>
      </c>
      <c r="AY26" s="259">
        <v>695</v>
      </c>
      <c r="AZ26" s="261"/>
      <c r="BA26" s="303"/>
      <c r="BB26" s="306"/>
      <c r="BC26" s="262">
        <v>10431</v>
      </c>
      <c r="BD26" s="263">
        <v>-3000</v>
      </c>
      <c r="BE26" s="264">
        <v>-939</v>
      </c>
      <c r="BF26" s="265">
        <v>-3000</v>
      </c>
      <c r="BG26" s="413"/>
      <c r="BH26" s="265"/>
      <c r="BI26" s="267">
        <f t="shared" si="7"/>
        <v>792.6201244906184</v>
      </c>
      <c r="BJ26" s="307"/>
      <c r="BK26" s="232"/>
      <c r="BL26" s="307"/>
      <c r="BM26" s="309"/>
      <c r="BN26" s="310"/>
      <c r="BO26" s="232"/>
      <c r="BP26" s="307"/>
      <c r="BQ26" s="232"/>
      <c r="BR26" s="180"/>
      <c r="BS26" s="184"/>
      <c r="BT26" s="183"/>
      <c r="BU26" s="437"/>
      <c r="BV26" s="85"/>
      <c r="BW26" s="48">
        <f t="shared" si="8"/>
        <v>69396.62012449061</v>
      </c>
      <c r="BX26" s="86"/>
      <c r="BY26" s="70">
        <f t="shared" si="3"/>
        <v>43492.79007550937</v>
      </c>
      <c r="CA26" s="463">
        <v>35311</v>
      </c>
      <c r="CC26" s="100">
        <f t="shared" si="9"/>
        <v>8181.790075509372</v>
      </c>
      <c r="CD26" s="134"/>
      <c r="CE26" s="130">
        <v>47079.65385232188</v>
      </c>
      <c r="CF26" s="446"/>
      <c r="CG26" s="130">
        <v>32988.569679251406</v>
      </c>
      <c r="CH26" s="134"/>
      <c r="CI26" s="130">
        <v>33664.51164008693</v>
      </c>
      <c r="CJ26" s="134"/>
      <c r="CK26" s="148">
        <v>46799.9457871886</v>
      </c>
      <c r="CL26" s="134"/>
      <c r="CM26" s="113">
        <v>48231.32449418741</v>
      </c>
      <c r="CO26" s="113">
        <v>45598.26221660734</v>
      </c>
      <c r="CQ26" s="77">
        <v>43936.696676868305</v>
      </c>
      <c r="CS26" s="77">
        <v>25704</v>
      </c>
    </row>
    <row r="27" spans="1:97" s="58" customFormat="1" ht="15.75">
      <c r="A27" s="96" t="s">
        <v>20</v>
      </c>
      <c r="B27" s="62" t="s">
        <v>37</v>
      </c>
      <c r="C27" s="65">
        <v>647</v>
      </c>
      <c r="D27" s="65">
        <v>11</v>
      </c>
      <c r="E27" s="65">
        <f t="shared" si="0"/>
        <v>658</v>
      </c>
      <c r="F27" s="452">
        <v>781</v>
      </c>
      <c r="G27"/>
      <c r="H27" s="106">
        <v>622</v>
      </c>
      <c r="I27" s="106">
        <v>12</v>
      </c>
      <c r="J27" s="106">
        <f t="shared" si="1"/>
        <v>634</v>
      </c>
      <c r="K27" s="408">
        <v>755</v>
      </c>
      <c r="L27" s="60"/>
      <c r="M27" s="97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101">
        <v>11735</v>
      </c>
      <c r="W27" s="98">
        <v>13094.577000000003</v>
      </c>
      <c r="X27" s="99">
        <f t="shared" si="5"/>
        <v>24829.577000000005</v>
      </c>
      <c r="Z27" s="301"/>
      <c r="AA27" s="18">
        <f t="shared" si="11"/>
        <v>1316</v>
      </c>
      <c r="AB27" s="303"/>
      <c r="AC27" s="304">
        <v>1451</v>
      </c>
      <c r="AD27" s="305">
        <v>7614</v>
      </c>
      <c r="AE27" s="299">
        <v>1975</v>
      </c>
      <c r="AF27" s="303"/>
      <c r="AG27" s="306"/>
      <c r="AH27" s="301"/>
      <c r="AI27" s="194">
        <f t="shared" si="6"/>
        <v>1974</v>
      </c>
      <c r="AJ27" s="307"/>
      <c r="AK27" s="232"/>
      <c r="AL27" s="303"/>
      <c r="AM27" s="306"/>
      <c r="AN27" s="303"/>
      <c r="AO27" s="306"/>
      <c r="AP27" s="303"/>
      <c r="AQ27" s="306"/>
      <c r="AR27" s="303"/>
      <c r="AS27" s="294"/>
      <c r="AT27" s="301"/>
      <c r="AU27" s="308"/>
      <c r="AV27" s="258">
        <f t="shared" si="10"/>
        <v>3124</v>
      </c>
      <c r="AW27" s="259"/>
      <c r="AX27" s="259"/>
      <c r="AY27" s="259">
        <v>403</v>
      </c>
      <c r="AZ27" s="261"/>
      <c r="BA27" s="303"/>
      <c r="BB27" s="306"/>
      <c r="BC27" s="262"/>
      <c r="BD27" s="263"/>
      <c r="BE27" s="264"/>
      <c r="BF27" s="297"/>
      <c r="BG27" s="413"/>
      <c r="BH27" s="265"/>
      <c r="BI27" s="267">
        <f t="shared" si="7"/>
        <v>441.9864761990059</v>
      </c>
      <c r="BJ27" s="307"/>
      <c r="BK27" s="232"/>
      <c r="BL27" s="307"/>
      <c r="BM27" s="309"/>
      <c r="BN27" s="310"/>
      <c r="BO27" s="232"/>
      <c r="BP27" s="307"/>
      <c r="BQ27" s="232"/>
      <c r="BR27" s="180"/>
      <c r="BS27" s="184"/>
      <c r="BT27" s="183"/>
      <c r="BU27" s="437"/>
      <c r="BV27" s="85"/>
      <c r="BW27" s="48">
        <f t="shared" si="8"/>
        <v>18298.986476199007</v>
      </c>
      <c r="BX27" s="86"/>
      <c r="BY27" s="70">
        <f t="shared" si="3"/>
        <v>6530.590523800998</v>
      </c>
      <c r="CA27" s="463">
        <v>3437</v>
      </c>
      <c r="CC27" s="100">
        <f t="shared" si="9"/>
        <v>3093.590523800998</v>
      </c>
      <c r="CD27" s="134"/>
      <c r="CE27" s="130">
        <v>4582.711611078776</v>
      </c>
      <c r="CF27" s="446"/>
      <c r="CG27" s="130">
        <v>9986.044317602391</v>
      </c>
      <c r="CH27" s="134"/>
      <c r="CI27" s="130">
        <v>10134.626633185404</v>
      </c>
      <c r="CJ27" s="134"/>
      <c r="CK27" s="148">
        <v>11043.571068801903</v>
      </c>
      <c r="CL27" s="134"/>
      <c r="CM27" s="113">
        <v>10010.862883748521</v>
      </c>
      <c r="CO27" s="113">
        <v>13342.921744958487</v>
      </c>
      <c r="CQ27" s="77">
        <v>31592.953037959673</v>
      </c>
      <c r="CS27" s="77">
        <v>-4616</v>
      </c>
    </row>
    <row r="28" spans="1:97" s="58" customFormat="1" ht="15.75">
      <c r="A28" s="96" t="s">
        <v>20</v>
      </c>
      <c r="B28" s="62" t="s">
        <v>38</v>
      </c>
      <c r="C28" s="65">
        <v>506</v>
      </c>
      <c r="D28" s="65">
        <v>13</v>
      </c>
      <c r="E28" s="65">
        <f t="shared" si="0"/>
        <v>519</v>
      </c>
      <c r="F28" s="452">
        <v>565</v>
      </c>
      <c r="G28"/>
      <c r="H28" s="106">
        <v>509</v>
      </c>
      <c r="I28" s="106">
        <v>13</v>
      </c>
      <c r="J28" s="106">
        <f t="shared" si="1"/>
        <v>522</v>
      </c>
      <c r="K28" s="408">
        <v>568</v>
      </c>
      <c r="L28" s="60"/>
      <c r="M28" s="97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101">
        <v>8085</v>
      </c>
      <c r="W28" s="98">
        <v>8476.395700000001</v>
      </c>
      <c r="X28" s="99">
        <f t="shared" si="5"/>
        <v>16561.3957</v>
      </c>
      <c r="Z28" s="301"/>
      <c r="AA28" s="18">
        <f t="shared" si="11"/>
        <v>1038</v>
      </c>
      <c r="AB28" s="303"/>
      <c r="AC28" s="304"/>
      <c r="AD28" s="305">
        <v>30784</v>
      </c>
      <c r="AE28" s="299">
        <v>1975</v>
      </c>
      <c r="AF28" s="303"/>
      <c r="AG28" s="306"/>
      <c r="AH28" s="301"/>
      <c r="AI28" s="194">
        <f t="shared" si="6"/>
        <v>1557</v>
      </c>
      <c r="AJ28" s="307"/>
      <c r="AK28" s="232"/>
      <c r="AL28" s="303"/>
      <c r="AM28" s="306"/>
      <c r="AN28" s="303"/>
      <c r="AO28" s="306"/>
      <c r="AP28" s="303"/>
      <c r="AQ28" s="306"/>
      <c r="AR28" s="303"/>
      <c r="AS28" s="294"/>
      <c r="AT28" s="301"/>
      <c r="AU28" s="308"/>
      <c r="AV28" s="258">
        <f t="shared" si="10"/>
        <v>2260</v>
      </c>
      <c r="AW28" s="259"/>
      <c r="AX28" s="259">
        <v>298</v>
      </c>
      <c r="AY28" s="259">
        <v>403</v>
      </c>
      <c r="AZ28" s="261"/>
      <c r="BA28" s="303"/>
      <c r="BB28" s="306"/>
      <c r="BC28" s="262"/>
      <c r="BD28" s="263"/>
      <c r="BE28" s="264">
        <v>-130</v>
      </c>
      <c r="BF28" s="297"/>
      <c r="BG28" s="413"/>
      <c r="BH28" s="265"/>
      <c r="BI28" s="267">
        <f t="shared" si="7"/>
        <v>348.61851238189064</v>
      </c>
      <c r="BJ28" s="307"/>
      <c r="BK28" s="232"/>
      <c r="BL28" s="307"/>
      <c r="BM28" s="309"/>
      <c r="BN28" s="310"/>
      <c r="BO28" s="232"/>
      <c r="BP28" s="307"/>
      <c r="BQ28" s="232"/>
      <c r="BR28" s="180"/>
      <c r="BS28" s="184"/>
      <c r="BT28" s="183"/>
      <c r="BU28" s="437"/>
      <c r="BV28" s="85"/>
      <c r="BW28" s="48">
        <f t="shared" si="8"/>
        <v>38533.618512381894</v>
      </c>
      <c r="BX28" s="86"/>
      <c r="BY28" s="70">
        <f t="shared" si="3"/>
        <v>-21972.222812381893</v>
      </c>
      <c r="CA28" s="463">
        <v>-19211</v>
      </c>
      <c r="CC28" s="100">
        <f t="shared" si="9"/>
        <v>-2761.222812381893</v>
      </c>
      <c r="CD28" s="134"/>
      <c r="CE28" s="130">
        <v>-25613.237948291615</v>
      </c>
      <c r="CF28" s="446"/>
      <c r="CG28" s="130">
        <v>-21053.550597803092</v>
      </c>
      <c r="CH28" s="134"/>
      <c r="CI28" s="130">
        <v>-20623.51246049271</v>
      </c>
      <c r="CJ28" s="134"/>
      <c r="CK28" s="148">
        <v>-18194.733303558714</v>
      </c>
      <c r="CL28" s="134"/>
      <c r="CM28" s="113">
        <v>-16014.483303558718</v>
      </c>
      <c r="CO28" s="113">
        <v>-15946.775118505338</v>
      </c>
      <c r="CQ28" s="77">
        <v>-14911.616933451955</v>
      </c>
      <c r="CS28" s="77">
        <v>-10806</v>
      </c>
    </row>
    <row r="29" spans="1:97" s="58" customFormat="1" ht="15.75">
      <c r="A29" s="96" t="s">
        <v>20</v>
      </c>
      <c r="B29" s="62" t="s">
        <v>39</v>
      </c>
      <c r="C29" s="65">
        <v>1380</v>
      </c>
      <c r="D29" s="65">
        <v>16</v>
      </c>
      <c r="E29" s="65">
        <f t="shared" si="0"/>
        <v>1396</v>
      </c>
      <c r="F29" s="452">
        <v>1553</v>
      </c>
      <c r="G29"/>
      <c r="H29" s="106">
        <v>1390</v>
      </c>
      <c r="I29" s="106">
        <v>17</v>
      </c>
      <c r="J29" s="106">
        <f t="shared" si="1"/>
        <v>1407</v>
      </c>
      <c r="K29" s="408">
        <v>1520</v>
      </c>
      <c r="L29" s="60"/>
      <c r="M29" s="97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101">
        <v>50463</v>
      </c>
      <c r="W29" s="98">
        <v>20505.92119999996</v>
      </c>
      <c r="X29" s="99">
        <f t="shared" si="5"/>
        <v>70968.92119999995</v>
      </c>
      <c r="Z29" s="301"/>
      <c r="AA29" s="18">
        <f t="shared" si="11"/>
        <v>2792</v>
      </c>
      <c r="AB29" s="303"/>
      <c r="AC29" s="304">
        <v>8686</v>
      </c>
      <c r="AD29" s="305">
        <v>52274</v>
      </c>
      <c r="AE29" s="299">
        <v>1975</v>
      </c>
      <c r="AF29" s="303"/>
      <c r="AG29" s="306"/>
      <c r="AH29" s="301"/>
      <c r="AI29" s="194">
        <f t="shared" si="6"/>
        <v>4188</v>
      </c>
      <c r="AJ29" s="307">
        <v>7570</v>
      </c>
      <c r="AK29" s="261">
        <v>18954</v>
      </c>
      <c r="AL29" s="303"/>
      <c r="AM29" s="306"/>
      <c r="AN29" s="303"/>
      <c r="AO29" s="306"/>
      <c r="AP29" s="303"/>
      <c r="AQ29" s="306"/>
      <c r="AR29" s="303"/>
      <c r="AS29" s="294"/>
      <c r="AT29" s="301"/>
      <c r="AU29" s="308"/>
      <c r="AV29" s="258">
        <f t="shared" si="10"/>
        <v>6212</v>
      </c>
      <c r="AW29" s="259">
        <v>-1738</v>
      </c>
      <c r="AX29" s="259">
        <v>323</v>
      </c>
      <c r="AY29" s="259">
        <v>403</v>
      </c>
      <c r="AZ29" s="261"/>
      <c r="BA29" s="303"/>
      <c r="BB29" s="306"/>
      <c r="BC29" s="262">
        <f>4038+6800</f>
        <v>10838</v>
      </c>
      <c r="BD29" s="263"/>
      <c r="BE29" s="264">
        <f>-167+1140</f>
        <v>973</v>
      </c>
      <c r="BF29" s="297"/>
      <c r="BG29" s="413"/>
      <c r="BH29" s="265"/>
      <c r="BI29" s="267">
        <f t="shared" si="7"/>
        <v>937.7099099905961</v>
      </c>
      <c r="BJ29" s="307"/>
      <c r="BK29" s="232"/>
      <c r="BL29" s="307"/>
      <c r="BM29" s="309"/>
      <c r="BN29" s="310"/>
      <c r="BO29" s="232"/>
      <c r="BP29" s="307"/>
      <c r="BQ29" s="232"/>
      <c r="BR29" s="180"/>
      <c r="BS29" s="184"/>
      <c r="BT29" s="183"/>
      <c r="BU29" s="437"/>
      <c r="BV29" s="85"/>
      <c r="BW29" s="48">
        <f t="shared" si="8"/>
        <v>114387.70990999059</v>
      </c>
      <c r="BX29" s="86"/>
      <c r="BY29" s="70">
        <f t="shared" si="3"/>
        <v>-43418.78870999064</v>
      </c>
      <c r="CA29" s="463">
        <v>-38162</v>
      </c>
      <c r="CC29" s="100">
        <f t="shared" si="9"/>
        <v>-5256.788709990637</v>
      </c>
      <c r="CD29" s="134"/>
      <c r="CE29" s="130">
        <v>-50882.17754165962</v>
      </c>
      <c r="CF29" s="446"/>
      <c r="CG29" s="130">
        <v>-46523.66762560351</v>
      </c>
      <c r="CH29" s="134"/>
      <c r="CI29" s="130">
        <v>-24576.476046626252</v>
      </c>
      <c r="CJ29" s="134"/>
      <c r="CK29" s="148">
        <v>-24772.16598861215</v>
      </c>
      <c r="CL29" s="134"/>
      <c r="CM29" s="113">
        <v>-1146.3021096085868</v>
      </c>
      <c r="CO29" s="113">
        <v>16658.120784816085</v>
      </c>
      <c r="CQ29" s="77">
        <v>7109.125648398527</v>
      </c>
      <c r="CS29" s="77">
        <v>10960</v>
      </c>
    </row>
    <row r="30" spans="1:97" s="58" customFormat="1" ht="16.5" thickBot="1">
      <c r="A30" s="81" t="s">
        <v>20</v>
      </c>
      <c r="B30" s="63" t="s">
        <v>40</v>
      </c>
      <c r="C30" s="453">
        <v>478</v>
      </c>
      <c r="D30" s="453">
        <v>7</v>
      </c>
      <c r="E30" s="453">
        <f t="shared" si="0"/>
        <v>485</v>
      </c>
      <c r="F30" s="454">
        <v>560</v>
      </c>
      <c r="G30"/>
      <c r="H30" s="409">
        <v>469</v>
      </c>
      <c r="I30" s="409">
        <v>6</v>
      </c>
      <c r="J30" s="409">
        <f t="shared" si="1"/>
        <v>475</v>
      </c>
      <c r="K30" s="410">
        <v>550</v>
      </c>
      <c r="L30" s="60"/>
      <c r="M30" s="82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102">
        <v>27549</v>
      </c>
      <c r="W30" s="83">
        <v>9644.192900000004</v>
      </c>
      <c r="X30" s="84">
        <f t="shared" si="5"/>
        <v>37193.1929</v>
      </c>
      <c r="Z30" s="317"/>
      <c r="AA30" s="270">
        <f t="shared" si="11"/>
        <v>970</v>
      </c>
      <c r="AB30" s="319"/>
      <c r="AC30" s="320">
        <v>2900</v>
      </c>
      <c r="AD30" s="321">
        <v>38811</v>
      </c>
      <c r="AE30" s="322">
        <v>1975</v>
      </c>
      <c r="AF30" s="319"/>
      <c r="AG30" s="323"/>
      <c r="AH30" s="317"/>
      <c r="AI30" s="197">
        <f t="shared" si="6"/>
        <v>1455</v>
      </c>
      <c r="AJ30" s="324"/>
      <c r="AK30" s="325"/>
      <c r="AL30" s="319"/>
      <c r="AM30" s="323"/>
      <c r="AN30" s="319"/>
      <c r="AO30" s="323"/>
      <c r="AP30" s="319"/>
      <c r="AQ30" s="323"/>
      <c r="AR30" s="319"/>
      <c r="AS30" s="326"/>
      <c r="AT30" s="317"/>
      <c r="AU30" s="327"/>
      <c r="AV30" s="279">
        <f t="shared" si="10"/>
        <v>2240</v>
      </c>
      <c r="AW30" s="280">
        <v>-1253</v>
      </c>
      <c r="AX30" s="280">
        <v>931</v>
      </c>
      <c r="AY30" s="280">
        <v>695</v>
      </c>
      <c r="AZ30" s="282"/>
      <c r="BA30" s="319"/>
      <c r="BB30" s="323"/>
      <c r="BC30" s="283"/>
      <c r="BD30" s="284"/>
      <c r="BE30" s="285"/>
      <c r="BF30" s="353"/>
      <c r="BG30" s="414"/>
      <c r="BH30" s="286"/>
      <c r="BI30" s="288">
        <f t="shared" si="7"/>
        <v>325.7803054050423</v>
      </c>
      <c r="BJ30" s="324"/>
      <c r="BK30" s="325"/>
      <c r="BL30" s="324"/>
      <c r="BM30" s="331"/>
      <c r="BN30" s="332"/>
      <c r="BO30" s="325"/>
      <c r="BP30" s="324"/>
      <c r="BQ30" s="325"/>
      <c r="BR30" s="186"/>
      <c r="BS30" s="188"/>
      <c r="BT30" s="187"/>
      <c r="BU30" s="438"/>
      <c r="BV30" s="85"/>
      <c r="BW30" s="403">
        <f t="shared" si="8"/>
        <v>49049.780305405046</v>
      </c>
      <c r="BX30" s="86"/>
      <c r="BY30" s="87">
        <f t="shared" si="3"/>
        <v>-11856.587405405044</v>
      </c>
      <c r="CA30" s="465">
        <v>-6737</v>
      </c>
      <c r="CC30" s="103">
        <f t="shared" si="9"/>
        <v>-5119.587405405044</v>
      </c>
      <c r="CD30" s="134"/>
      <c r="CE30" s="131">
        <v>-8983.870285705969</v>
      </c>
      <c r="CF30" s="446"/>
      <c r="CG30" s="131">
        <v>-1962.8504957146724</v>
      </c>
      <c r="CH30" s="134"/>
      <c r="CI30" s="131">
        <v>92.53190914772131</v>
      </c>
      <c r="CJ30" s="134"/>
      <c r="CK30" s="149">
        <v>3037.3064824436588</v>
      </c>
      <c r="CL30" s="134"/>
      <c r="CM30" s="114">
        <v>2479.188451601425</v>
      </c>
      <c r="CN30" s="69"/>
      <c r="CO30" s="114">
        <v>4650.188451601425</v>
      </c>
      <c r="CP30" s="69"/>
      <c r="CQ30" s="89">
        <v>1277.724513285888</v>
      </c>
      <c r="CS30" s="89">
        <v>5558</v>
      </c>
    </row>
    <row r="31" spans="1:97" ht="15.75">
      <c r="A31" s="2" t="s">
        <v>41</v>
      </c>
      <c r="B31" s="64" t="s">
        <v>42</v>
      </c>
      <c r="C31" s="450">
        <v>544</v>
      </c>
      <c r="D31" s="450">
        <v>9</v>
      </c>
      <c r="E31" s="450">
        <f t="shared" si="0"/>
        <v>553</v>
      </c>
      <c r="F31" s="451">
        <v>725</v>
      </c>
      <c r="G31"/>
      <c r="H31" s="406">
        <v>545</v>
      </c>
      <c r="I31" s="406">
        <v>9</v>
      </c>
      <c r="J31" s="406">
        <f t="shared" si="1"/>
        <v>554</v>
      </c>
      <c r="K31" s="407">
        <v>707</v>
      </c>
      <c r="L31" s="30"/>
      <c r="M31" s="38">
        <v>20637.120000000003</v>
      </c>
      <c r="N31" s="3">
        <v>2270</v>
      </c>
      <c r="O31" s="3">
        <v>1020</v>
      </c>
      <c r="P31" s="3">
        <v>70778.11199999998</v>
      </c>
      <c r="Q31" s="3">
        <v>599</v>
      </c>
      <c r="R31" s="3">
        <v>0</v>
      </c>
      <c r="S31" s="3">
        <v>15519</v>
      </c>
      <c r="T31" s="3">
        <v>4717.345058</v>
      </c>
      <c r="U31" s="3">
        <v>2631.9849999999997</v>
      </c>
      <c r="V31" s="3">
        <f t="shared" si="4"/>
        <v>118172.562058</v>
      </c>
      <c r="W31" s="3">
        <v>-37486.66840000001</v>
      </c>
      <c r="X31" s="4">
        <f t="shared" si="5"/>
        <v>80685.89365799999</v>
      </c>
      <c r="Z31" s="244"/>
      <c r="AA31" s="344"/>
      <c r="AB31" s="333"/>
      <c r="AC31" s="238">
        <v>3437</v>
      </c>
      <c r="AD31" s="292"/>
      <c r="AE31" s="18">
        <f>1.54*E31-3</f>
        <v>848.62</v>
      </c>
      <c r="AF31" s="239"/>
      <c r="AG31" s="240"/>
      <c r="AH31" s="236"/>
      <c r="AI31" s="473">
        <f t="shared" si="6"/>
        <v>1659</v>
      </c>
      <c r="AJ31" s="241"/>
      <c r="AK31" s="242"/>
      <c r="AL31" s="239"/>
      <c r="AM31" s="240"/>
      <c r="AN31" s="239"/>
      <c r="AO31" s="240"/>
      <c r="AP31" s="239"/>
      <c r="AQ31" s="240"/>
      <c r="AR31" s="239"/>
      <c r="AS31" s="243"/>
      <c r="AT31" s="244"/>
      <c r="AU31" s="243"/>
      <c r="AV31" s="245">
        <f t="shared" si="10"/>
        <v>2900</v>
      </c>
      <c r="AW31" s="246">
        <v>-5735</v>
      </c>
      <c r="AX31" s="247"/>
      <c r="AY31" s="246"/>
      <c r="AZ31" s="231">
        <v>4000</v>
      </c>
      <c r="BA31" s="239"/>
      <c r="BB31" s="240"/>
      <c r="BC31" s="334">
        <v>-3521</v>
      </c>
      <c r="BD31" s="335">
        <v>-3000</v>
      </c>
      <c r="BE31" s="336">
        <f>3847+5722</f>
        <v>9569</v>
      </c>
      <c r="BF31" s="337"/>
      <c r="BG31" s="417"/>
      <c r="BH31" s="337"/>
      <c r="BI31" s="252">
        <f t="shared" si="7"/>
        <v>371.45671935873895</v>
      </c>
      <c r="BJ31" s="241"/>
      <c r="BK31" s="232"/>
      <c r="BL31" s="241"/>
      <c r="BM31" s="254"/>
      <c r="BN31" s="255"/>
      <c r="BO31" s="242"/>
      <c r="BP31" s="241"/>
      <c r="BQ31" s="242"/>
      <c r="BR31" s="166"/>
      <c r="BS31" s="217"/>
      <c r="BT31" s="171"/>
      <c r="BU31" s="437"/>
      <c r="BV31" s="46"/>
      <c r="BW31" s="47">
        <f>SUM(Z31:BU31)</f>
        <v>10529.076719358738</v>
      </c>
      <c r="BX31" s="11"/>
      <c r="BY31" s="93">
        <f t="shared" si="3"/>
        <v>70156.81693864125</v>
      </c>
      <c r="CA31" s="462">
        <v>55380</v>
      </c>
      <c r="CB31" s="58"/>
      <c r="CC31" s="94">
        <f t="shared" si="9"/>
        <v>14776.816938641248</v>
      </c>
      <c r="CD31" s="134"/>
      <c r="CE31" s="95">
        <v>73838.60522667134</v>
      </c>
      <c r="CF31" s="446"/>
      <c r="CG31" s="95">
        <v>67565.1811546097</v>
      </c>
      <c r="CH31" s="134"/>
      <c r="CI31" s="95">
        <v>77198.85190453562</v>
      </c>
      <c r="CJ31" s="134"/>
      <c r="CK31" s="150">
        <v>71388.37289880663</v>
      </c>
      <c r="CL31" s="134"/>
      <c r="CM31" s="110">
        <v>78975.81388338552</v>
      </c>
      <c r="CO31" s="110">
        <v>79936.77372917437</v>
      </c>
      <c r="CQ31" s="76">
        <v>78898.77601830714</v>
      </c>
      <c r="CS31" s="74">
        <v>77477</v>
      </c>
    </row>
    <row r="32" spans="1:97" ht="15.75">
      <c r="A32" s="5" t="s">
        <v>41</v>
      </c>
      <c r="B32" s="62" t="s">
        <v>43</v>
      </c>
      <c r="C32" s="65">
        <v>273</v>
      </c>
      <c r="D32" s="65">
        <v>4</v>
      </c>
      <c r="E32" s="65">
        <f t="shared" si="0"/>
        <v>277</v>
      </c>
      <c r="F32" s="452">
        <v>366</v>
      </c>
      <c r="G32"/>
      <c r="H32" s="106">
        <v>276</v>
      </c>
      <c r="I32" s="106">
        <v>7</v>
      </c>
      <c r="J32" s="106">
        <f t="shared" si="1"/>
        <v>283</v>
      </c>
      <c r="K32" s="408">
        <v>372</v>
      </c>
      <c r="L32" s="30"/>
      <c r="M32" s="35">
        <v>5322.66</v>
      </c>
      <c r="N32" s="6">
        <v>774</v>
      </c>
      <c r="O32" s="6">
        <v>0</v>
      </c>
      <c r="P32" s="6">
        <v>24283.356</v>
      </c>
      <c r="Q32" s="6">
        <v>421</v>
      </c>
      <c r="R32" s="6">
        <v>0</v>
      </c>
      <c r="S32" s="6">
        <v>1367</v>
      </c>
      <c r="T32" s="6">
        <v>2182.5514164</v>
      </c>
      <c r="U32" s="6">
        <v>395.645</v>
      </c>
      <c r="V32" s="6">
        <f t="shared" si="4"/>
        <v>34746.2124164</v>
      </c>
      <c r="W32" s="6">
        <v>-11687.769700000033</v>
      </c>
      <c r="X32" s="7">
        <f t="shared" si="5"/>
        <v>23058.442716399964</v>
      </c>
      <c r="Z32" s="244"/>
      <c r="AA32" s="18"/>
      <c r="AB32" s="239"/>
      <c r="AC32" s="257">
        <v>1301</v>
      </c>
      <c r="AD32" s="298">
        <v>2193</v>
      </c>
      <c r="AE32" s="18">
        <f>1.54*E32-2</f>
        <v>424.58</v>
      </c>
      <c r="AF32" s="239"/>
      <c r="AG32" s="240"/>
      <c r="AH32" s="244"/>
      <c r="AI32" s="194">
        <f t="shared" si="6"/>
        <v>831</v>
      </c>
      <c r="AJ32" s="241"/>
      <c r="AK32" s="242"/>
      <c r="AL32" s="239"/>
      <c r="AM32" s="240"/>
      <c r="AN32" s="239"/>
      <c r="AO32" s="240"/>
      <c r="AP32" s="239"/>
      <c r="AQ32" s="240"/>
      <c r="AR32" s="239"/>
      <c r="AS32" s="243"/>
      <c r="AT32" s="244"/>
      <c r="AU32" s="243"/>
      <c r="AV32" s="258">
        <f t="shared" si="10"/>
        <v>1464</v>
      </c>
      <c r="AW32" s="259"/>
      <c r="AX32" s="260"/>
      <c r="AY32" s="259"/>
      <c r="AZ32" s="261"/>
      <c r="BA32" s="239"/>
      <c r="BB32" s="240"/>
      <c r="BC32" s="338">
        <f>122-515</f>
        <v>-393</v>
      </c>
      <c r="BD32" s="339"/>
      <c r="BE32" s="313">
        <f>620+3023</f>
        <v>3643</v>
      </c>
      <c r="BF32" s="314"/>
      <c r="BG32" s="416"/>
      <c r="BH32" s="314"/>
      <c r="BI32" s="267">
        <f t="shared" si="7"/>
        <v>186.06421566432314</v>
      </c>
      <c r="BJ32" s="241"/>
      <c r="BK32" s="232"/>
      <c r="BL32" s="241"/>
      <c r="BM32" s="254"/>
      <c r="BN32" s="255"/>
      <c r="BO32" s="242"/>
      <c r="BP32" s="241"/>
      <c r="BQ32" s="242"/>
      <c r="BR32" s="173"/>
      <c r="BS32" s="168"/>
      <c r="BT32" s="171"/>
      <c r="BU32" s="437"/>
      <c r="BV32" s="46"/>
      <c r="BW32" s="48">
        <f t="shared" si="8"/>
        <v>9649.644215664322</v>
      </c>
      <c r="BX32" s="11"/>
      <c r="BY32" s="70">
        <f t="shared" si="3"/>
        <v>13408.798500735642</v>
      </c>
      <c r="CA32" s="463">
        <v>11694</v>
      </c>
      <c r="CB32" s="58"/>
      <c r="CC32" s="100">
        <f t="shared" si="9"/>
        <v>1714.798500735642</v>
      </c>
      <c r="CD32" s="134"/>
      <c r="CE32" s="130">
        <v>15593.528228916199</v>
      </c>
      <c r="CF32" s="446"/>
      <c r="CG32" s="130">
        <v>14198.840058412441</v>
      </c>
      <c r="CH32" s="134"/>
      <c r="CI32" s="130">
        <v>15363.808262999004</v>
      </c>
      <c r="CJ32" s="134"/>
      <c r="CK32" s="151">
        <v>16603.65119801325</v>
      </c>
      <c r="CL32" s="134"/>
      <c r="CM32" s="111">
        <v>19316.41513632879</v>
      </c>
      <c r="CO32" s="111">
        <v>19238.520059223214</v>
      </c>
      <c r="CQ32" s="74">
        <v>19257.280655332186</v>
      </c>
      <c r="CS32" s="74">
        <v>18916</v>
      </c>
    </row>
    <row r="33" spans="1:97" ht="15.75">
      <c r="A33" s="5" t="s">
        <v>41</v>
      </c>
      <c r="B33" s="62" t="s">
        <v>44</v>
      </c>
      <c r="C33" s="65">
        <v>27</v>
      </c>
      <c r="D33" s="65">
        <v>0</v>
      </c>
      <c r="E33" s="65">
        <f t="shared" si="0"/>
        <v>27</v>
      </c>
      <c r="F33" s="452">
        <v>52</v>
      </c>
      <c r="G33"/>
      <c r="H33" s="106">
        <v>28</v>
      </c>
      <c r="I33" s="106">
        <v>0</v>
      </c>
      <c r="J33" s="106">
        <f t="shared" si="1"/>
        <v>28</v>
      </c>
      <c r="K33" s="408">
        <v>53</v>
      </c>
      <c r="L33" s="30"/>
      <c r="M33" s="35">
        <v>119.49</v>
      </c>
      <c r="N33" s="6">
        <v>196</v>
      </c>
      <c r="O33" s="6">
        <v>1020</v>
      </c>
      <c r="P33" s="6">
        <v>2927.5200000000004</v>
      </c>
      <c r="Q33" s="6">
        <v>136</v>
      </c>
      <c r="R33" s="6">
        <v>0</v>
      </c>
      <c r="S33" s="6">
        <v>0</v>
      </c>
      <c r="T33" s="6">
        <v>423.0282652</v>
      </c>
      <c r="U33" s="6">
        <v>79.67</v>
      </c>
      <c r="V33" s="6">
        <f t="shared" si="4"/>
        <v>4901.7082652</v>
      </c>
      <c r="W33" s="6">
        <v>-1537.4099999999999</v>
      </c>
      <c r="X33" s="7">
        <f t="shared" si="5"/>
        <v>3364.2982652</v>
      </c>
      <c r="Z33" s="244"/>
      <c r="AA33" s="18"/>
      <c r="AB33" s="239"/>
      <c r="AC33" s="257"/>
      <c r="AD33" s="298"/>
      <c r="AE33" s="18">
        <f>1.54*E33</f>
        <v>41.58</v>
      </c>
      <c r="AF33" s="239"/>
      <c r="AG33" s="240"/>
      <c r="AH33" s="244"/>
      <c r="AI33" s="194">
        <f t="shared" si="6"/>
        <v>81</v>
      </c>
      <c r="AJ33" s="241"/>
      <c r="AK33" s="242"/>
      <c r="AL33" s="239"/>
      <c r="AM33" s="240"/>
      <c r="AN33" s="239"/>
      <c r="AO33" s="240"/>
      <c r="AP33" s="239"/>
      <c r="AQ33" s="240"/>
      <c r="AR33" s="239"/>
      <c r="AS33" s="243"/>
      <c r="AT33" s="244"/>
      <c r="AU33" s="243"/>
      <c r="AV33" s="258">
        <f t="shared" si="10"/>
        <v>208</v>
      </c>
      <c r="AW33" s="259"/>
      <c r="AX33" s="260"/>
      <c r="AY33" s="259"/>
      <c r="AZ33" s="261"/>
      <c r="BA33" s="239"/>
      <c r="BB33" s="240"/>
      <c r="BC33" s="338"/>
      <c r="BD33" s="339"/>
      <c r="BE33" s="313"/>
      <c r="BF33" s="314"/>
      <c r="BG33" s="416"/>
      <c r="BH33" s="314"/>
      <c r="BI33" s="267">
        <f t="shared" si="7"/>
        <v>18.1362231874972</v>
      </c>
      <c r="BJ33" s="241"/>
      <c r="BK33" s="232"/>
      <c r="BL33" s="241"/>
      <c r="BM33" s="254"/>
      <c r="BN33" s="255"/>
      <c r="BO33" s="242"/>
      <c r="BP33" s="241"/>
      <c r="BQ33" s="242"/>
      <c r="BR33" s="173"/>
      <c r="BS33" s="168"/>
      <c r="BT33" s="171"/>
      <c r="BU33" s="437"/>
      <c r="BV33" s="46"/>
      <c r="BW33" s="48">
        <f t="shared" si="8"/>
        <v>348.7162231874972</v>
      </c>
      <c r="BX33" s="11"/>
      <c r="BY33" s="70">
        <f t="shared" si="3"/>
        <v>3015.582042012503</v>
      </c>
      <c r="CA33" s="463">
        <v>2275</v>
      </c>
      <c r="CB33" s="58"/>
      <c r="CC33" s="100">
        <f t="shared" si="9"/>
        <v>740.5820420125028</v>
      </c>
      <c r="CD33" s="134"/>
      <c r="CE33" s="130">
        <v>3034.3703300425955</v>
      </c>
      <c r="CF33" s="446"/>
      <c r="CG33" s="130">
        <v>2790.3126400304855</v>
      </c>
      <c r="CH33" s="134"/>
      <c r="CI33" s="130">
        <v>3080.95753519366</v>
      </c>
      <c r="CJ33" s="134"/>
      <c r="CK33" s="151">
        <v>3081.7638642510083</v>
      </c>
      <c r="CL33" s="134"/>
      <c r="CM33" s="111">
        <v>3085.4638642510085</v>
      </c>
      <c r="CO33" s="111">
        <v>3089.4638642510085</v>
      </c>
      <c r="CQ33" s="74">
        <v>2964.2014267776854</v>
      </c>
      <c r="CS33" s="74">
        <v>2958</v>
      </c>
    </row>
    <row r="34" spans="1:97" ht="15.75">
      <c r="A34" s="5" t="s">
        <v>41</v>
      </c>
      <c r="B34" s="62" t="s">
        <v>45</v>
      </c>
      <c r="C34" s="65">
        <v>181</v>
      </c>
      <c r="D34" s="65">
        <v>5</v>
      </c>
      <c r="E34" s="65">
        <f t="shared" si="0"/>
        <v>186</v>
      </c>
      <c r="F34" s="452">
        <v>281</v>
      </c>
      <c r="G34"/>
      <c r="H34" s="106">
        <v>181</v>
      </c>
      <c r="I34" s="106">
        <v>4</v>
      </c>
      <c r="J34" s="106">
        <f t="shared" si="1"/>
        <v>185</v>
      </c>
      <c r="K34" s="408">
        <v>277</v>
      </c>
      <c r="L34" s="30"/>
      <c r="M34" s="35">
        <v>2126.25</v>
      </c>
      <c r="N34" s="6">
        <v>1495</v>
      </c>
      <c r="O34" s="6">
        <v>0</v>
      </c>
      <c r="P34" s="6">
        <v>20587.5637</v>
      </c>
      <c r="Q34" s="6">
        <v>666</v>
      </c>
      <c r="R34" s="6">
        <v>0</v>
      </c>
      <c r="S34" s="6">
        <v>227</v>
      </c>
      <c r="T34" s="6">
        <v>1096.639112</v>
      </c>
      <c r="U34" s="6">
        <v>11.375</v>
      </c>
      <c r="V34" s="6">
        <f t="shared" si="4"/>
        <v>26209.827812</v>
      </c>
      <c r="W34" s="6">
        <v>-9694.86429999999</v>
      </c>
      <c r="X34" s="7">
        <f t="shared" si="5"/>
        <v>16514.96351200001</v>
      </c>
      <c r="Z34" s="244"/>
      <c r="AA34" s="18"/>
      <c r="AB34" s="239"/>
      <c r="AC34" s="257">
        <v>1859</v>
      </c>
      <c r="AD34" s="298"/>
      <c r="AE34" s="18">
        <f>1.54*E34-1</f>
        <v>285.44</v>
      </c>
      <c r="AF34" s="239"/>
      <c r="AG34" s="240"/>
      <c r="AH34" s="244"/>
      <c r="AI34" s="194">
        <f t="shared" si="6"/>
        <v>558</v>
      </c>
      <c r="AJ34" s="241"/>
      <c r="AK34" s="242"/>
      <c r="AL34" s="239"/>
      <c r="AM34" s="240"/>
      <c r="AN34" s="239"/>
      <c r="AO34" s="240"/>
      <c r="AP34" s="239"/>
      <c r="AQ34" s="240"/>
      <c r="AR34" s="239"/>
      <c r="AS34" s="243"/>
      <c r="AT34" s="244"/>
      <c r="AU34" s="243"/>
      <c r="AV34" s="258">
        <f t="shared" si="10"/>
        <v>1124</v>
      </c>
      <c r="AW34" s="259"/>
      <c r="AX34" s="260"/>
      <c r="AY34" s="259"/>
      <c r="AZ34" s="261"/>
      <c r="BA34" s="239"/>
      <c r="BB34" s="240"/>
      <c r="BC34" s="338">
        <v>-998</v>
      </c>
      <c r="BD34" s="339"/>
      <c r="BE34" s="313">
        <f>1461+2438</f>
        <v>3899</v>
      </c>
      <c r="BF34" s="314"/>
      <c r="BG34" s="416"/>
      <c r="BH34" s="314"/>
      <c r="BI34" s="267">
        <f t="shared" si="7"/>
        <v>124.9384264027585</v>
      </c>
      <c r="BJ34" s="241"/>
      <c r="BK34" s="232"/>
      <c r="BL34" s="241"/>
      <c r="BM34" s="254"/>
      <c r="BN34" s="255"/>
      <c r="BO34" s="242"/>
      <c r="BP34" s="241"/>
      <c r="BQ34" s="242"/>
      <c r="BR34" s="173"/>
      <c r="BS34" s="168"/>
      <c r="BT34" s="171"/>
      <c r="BU34" s="437"/>
      <c r="BV34" s="46"/>
      <c r="BW34" s="48">
        <f t="shared" si="8"/>
        <v>6852.378426402759</v>
      </c>
      <c r="BX34" s="11"/>
      <c r="BY34" s="70">
        <f t="shared" si="3"/>
        <v>9662.58508559725</v>
      </c>
      <c r="CA34" s="463">
        <v>5774</v>
      </c>
      <c r="CB34" s="58"/>
      <c r="CC34" s="100">
        <f t="shared" si="9"/>
        <v>3888.5850855972494</v>
      </c>
      <c r="CD34" s="134"/>
      <c r="CE34" s="130">
        <v>7699.796797567158</v>
      </c>
      <c r="CF34" s="446"/>
      <c r="CG34" s="130">
        <v>8901.844716231091</v>
      </c>
      <c r="CH34" s="134"/>
      <c r="CI34" s="130">
        <v>11185.616260845221</v>
      </c>
      <c r="CJ34" s="134"/>
      <c r="CK34" s="151">
        <v>11597.104674514838</v>
      </c>
      <c r="CL34" s="134"/>
      <c r="CM34" s="111">
        <v>12858.222705357068</v>
      </c>
      <c r="CO34" s="111">
        <v>12674.231720778182</v>
      </c>
      <c r="CQ34" s="74">
        <v>14071.550148896236</v>
      </c>
      <c r="CS34" s="74">
        <v>13783</v>
      </c>
    </row>
    <row r="35" spans="1:97" ht="15.75">
      <c r="A35" s="5" t="s">
        <v>41</v>
      </c>
      <c r="B35" s="62" t="s">
        <v>46</v>
      </c>
      <c r="C35" s="65">
        <v>484</v>
      </c>
      <c r="D35" s="65">
        <v>7</v>
      </c>
      <c r="E35" s="65">
        <f t="shared" si="0"/>
        <v>491</v>
      </c>
      <c r="F35" s="452">
        <v>575</v>
      </c>
      <c r="G35"/>
      <c r="H35" s="106">
        <v>467</v>
      </c>
      <c r="I35" s="106">
        <v>7</v>
      </c>
      <c r="J35" s="106">
        <f t="shared" si="1"/>
        <v>474</v>
      </c>
      <c r="K35" s="408">
        <v>557</v>
      </c>
      <c r="L35" s="30"/>
      <c r="M35" s="35">
        <v>6454</v>
      </c>
      <c r="N35" s="6">
        <v>1167</v>
      </c>
      <c r="O35" s="6">
        <v>5220</v>
      </c>
      <c r="P35" s="6">
        <v>26310.4044</v>
      </c>
      <c r="Q35" s="6">
        <v>996</v>
      </c>
      <c r="R35" s="6">
        <v>0</v>
      </c>
      <c r="S35" s="6">
        <v>2916</v>
      </c>
      <c r="T35" s="6">
        <v>4495.6758512</v>
      </c>
      <c r="U35" s="6">
        <v>121.66499999999999</v>
      </c>
      <c r="V35" s="6">
        <f t="shared" si="4"/>
        <v>47680.7452512</v>
      </c>
      <c r="W35" s="6">
        <v>-12951.979999999989</v>
      </c>
      <c r="X35" s="7">
        <f t="shared" si="5"/>
        <v>34728.76525120001</v>
      </c>
      <c r="Z35" s="244"/>
      <c r="AA35" s="18"/>
      <c r="AB35" s="239"/>
      <c r="AC35" s="257">
        <v>2100</v>
      </c>
      <c r="AD35" s="298">
        <v>5803</v>
      </c>
      <c r="AE35" s="18">
        <f>1.54*E35-3</f>
        <v>753.14</v>
      </c>
      <c r="AF35" s="239"/>
      <c r="AG35" s="240"/>
      <c r="AH35" s="244"/>
      <c r="AI35" s="194">
        <f t="shared" si="6"/>
        <v>1473</v>
      </c>
      <c r="AJ35" s="241"/>
      <c r="AK35" s="242"/>
      <c r="AL35" s="239"/>
      <c r="AM35" s="240"/>
      <c r="AN35" s="239"/>
      <c r="AO35" s="240"/>
      <c r="AP35" s="239"/>
      <c r="AQ35" s="240"/>
      <c r="AR35" s="239"/>
      <c r="AS35" s="243"/>
      <c r="AT35" s="244"/>
      <c r="AU35" s="243"/>
      <c r="AV35" s="258">
        <f t="shared" si="10"/>
        <v>2300</v>
      </c>
      <c r="AW35" s="259"/>
      <c r="AX35" s="260"/>
      <c r="AY35" s="259"/>
      <c r="AZ35" s="261"/>
      <c r="BA35" s="239"/>
      <c r="BB35" s="240"/>
      <c r="BC35" s="338">
        <v>-75</v>
      </c>
      <c r="BD35" s="339"/>
      <c r="BE35" s="313">
        <f>17751+154</f>
        <v>17905</v>
      </c>
      <c r="BF35" s="314"/>
      <c r="BG35" s="416"/>
      <c r="BH35" s="314"/>
      <c r="BI35" s="267">
        <f t="shared" si="7"/>
        <v>329.81057722448617</v>
      </c>
      <c r="BJ35" s="241"/>
      <c r="BK35" s="232"/>
      <c r="BL35" s="241"/>
      <c r="BM35" s="254"/>
      <c r="BN35" s="255"/>
      <c r="BO35" s="242"/>
      <c r="BP35" s="241"/>
      <c r="BQ35" s="242"/>
      <c r="BR35" s="173"/>
      <c r="BS35" s="168"/>
      <c r="BT35" s="171"/>
      <c r="BU35" s="437"/>
      <c r="BV35" s="46"/>
      <c r="BW35" s="48">
        <f t="shared" si="8"/>
        <v>30588.950577224485</v>
      </c>
      <c r="BX35" s="11"/>
      <c r="BY35" s="70">
        <f t="shared" si="3"/>
        <v>4139.814673975528</v>
      </c>
      <c r="CA35" s="463">
        <v>4276</v>
      </c>
      <c r="CB35" s="58"/>
      <c r="CC35" s="100">
        <f t="shared" si="9"/>
        <v>-136.18532602447158</v>
      </c>
      <c r="CD35" s="134"/>
      <c r="CE35" s="130">
        <v>5698.413777463953</v>
      </c>
      <c r="CF35" s="446"/>
      <c r="CG35" s="130">
        <v>18216.077971568877</v>
      </c>
      <c r="CH35" s="134"/>
      <c r="CI35" s="130">
        <v>20551.50069183039</v>
      </c>
      <c r="CJ35" s="134"/>
      <c r="CK35" s="151">
        <v>12754.028003275933</v>
      </c>
      <c r="CL35" s="134"/>
      <c r="CM35" s="111">
        <v>27851.146034118163</v>
      </c>
      <c r="CO35" s="111">
        <v>31977.685298649598</v>
      </c>
      <c r="CQ35" s="74">
        <v>29855.10619242258</v>
      </c>
      <c r="CS35" s="74">
        <v>29170</v>
      </c>
    </row>
    <row r="36" spans="1:97" ht="16.5" thickBot="1">
      <c r="A36" s="8" t="s">
        <v>41</v>
      </c>
      <c r="B36" s="63" t="s">
        <v>47</v>
      </c>
      <c r="C36" s="453">
        <v>273</v>
      </c>
      <c r="D36" s="453">
        <v>4</v>
      </c>
      <c r="E36" s="453">
        <f t="shared" si="0"/>
        <v>277</v>
      </c>
      <c r="F36" s="454">
        <v>323</v>
      </c>
      <c r="G36"/>
      <c r="H36" s="409">
        <v>272</v>
      </c>
      <c r="I36" s="409">
        <v>4</v>
      </c>
      <c r="J36" s="409">
        <f t="shared" si="1"/>
        <v>276</v>
      </c>
      <c r="K36" s="410">
        <v>319</v>
      </c>
      <c r="L36" s="30"/>
      <c r="M36" s="37">
        <v>2420.2200000000003</v>
      </c>
      <c r="N36" s="9">
        <v>1405</v>
      </c>
      <c r="O36" s="9">
        <v>0</v>
      </c>
      <c r="P36" s="9">
        <v>21219.1655</v>
      </c>
      <c r="Q36" s="9">
        <v>666</v>
      </c>
      <c r="R36" s="9">
        <v>0</v>
      </c>
      <c r="S36" s="9">
        <v>2066</v>
      </c>
      <c r="T36" s="9">
        <v>2714.7535356</v>
      </c>
      <c r="U36" s="9">
        <v>142.48499999999999</v>
      </c>
      <c r="V36" s="9">
        <f t="shared" si="4"/>
        <v>30633.6240356</v>
      </c>
      <c r="W36" s="9">
        <v>-9749.541400000013</v>
      </c>
      <c r="X36" s="10">
        <f t="shared" si="5"/>
        <v>20884.08263559999</v>
      </c>
      <c r="Z36" s="269"/>
      <c r="AA36" s="270"/>
      <c r="AB36" s="274"/>
      <c r="AC36" s="272">
        <v>2769</v>
      </c>
      <c r="AD36" s="273">
        <v>1270</v>
      </c>
      <c r="AE36" s="18">
        <f>1.54*E36-2</f>
        <v>424.58</v>
      </c>
      <c r="AF36" s="274"/>
      <c r="AG36" s="275"/>
      <c r="AH36" s="269"/>
      <c r="AI36" s="197">
        <f t="shared" si="6"/>
        <v>831</v>
      </c>
      <c r="AJ36" s="276"/>
      <c r="AK36" s="277"/>
      <c r="AL36" s="274"/>
      <c r="AM36" s="275"/>
      <c r="AN36" s="274"/>
      <c r="AO36" s="275"/>
      <c r="AP36" s="274"/>
      <c r="AQ36" s="275"/>
      <c r="AR36" s="274"/>
      <c r="AS36" s="278"/>
      <c r="AT36" s="269"/>
      <c r="AU36" s="278"/>
      <c r="AV36" s="279">
        <f t="shared" si="10"/>
        <v>1292</v>
      </c>
      <c r="AW36" s="280">
        <v>-479</v>
      </c>
      <c r="AX36" s="281"/>
      <c r="AY36" s="280"/>
      <c r="AZ36" s="282"/>
      <c r="BA36" s="274"/>
      <c r="BB36" s="275"/>
      <c r="BC36" s="340">
        <f>139-572</f>
        <v>-433</v>
      </c>
      <c r="BD36" s="341"/>
      <c r="BE36" s="342">
        <f>3324+5548</f>
        <v>8872</v>
      </c>
      <c r="BF36" s="343"/>
      <c r="BG36" s="418"/>
      <c r="BH36" s="343"/>
      <c r="BI36" s="288">
        <f t="shared" si="7"/>
        <v>186.06421566432314</v>
      </c>
      <c r="BJ36" s="276"/>
      <c r="BK36" s="325"/>
      <c r="BL36" s="276"/>
      <c r="BM36" s="289"/>
      <c r="BN36" s="290"/>
      <c r="BO36" s="277"/>
      <c r="BP36" s="276"/>
      <c r="BQ36" s="277"/>
      <c r="BR36" s="174"/>
      <c r="BS36" s="176"/>
      <c r="BT36" s="177"/>
      <c r="BU36" s="438"/>
      <c r="BV36" s="46"/>
      <c r="BW36" s="50">
        <f aca="true" t="shared" si="12" ref="BW36:BW57">SUM(Z36:BU36)</f>
        <v>14732.644215664322</v>
      </c>
      <c r="BX36" s="11"/>
      <c r="BY36" s="87">
        <f aca="true" t="shared" si="13" ref="BY36:BY57">X36-BW36</f>
        <v>6151.438419935666</v>
      </c>
      <c r="CA36" s="464">
        <v>6534</v>
      </c>
      <c r="CB36" s="58"/>
      <c r="CC36" s="88">
        <f t="shared" si="9"/>
        <v>-382.5615800643336</v>
      </c>
      <c r="CD36" s="134"/>
      <c r="CE36" s="131">
        <v>8711.650131905571</v>
      </c>
      <c r="CF36" s="446"/>
      <c r="CG36" s="131">
        <v>7190.870267821307</v>
      </c>
      <c r="CH36" s="134"/>
      <c r="CI36" s="131">
        <v>14739.806754792091</v>
      </c>
      <c r="CJ36" s="134"/>
      <c r="CK36" s="152">
        <v>15223.96816347662</v>
      </c>
      <c r="CL36" s="134"/>
      <c r="CM36" s="115">
        <v>18064.08619431885</v>
      </c>
      <c r="CN36" s="51"/>
      <c r="CO36" s="115">
        <v>18923.12225600331</v>
      </c>
      <c r="CP36" s="51"/>
      <c r="CQ36" s="78">
        <v>17948.546424659384</v>
      </c>
      <c r="CS36" s="78">
        <v>17466</v>
      </c>
    </row>
    <row r="37" spans="1:97" ht="15.75">
      <c r="A37" s="2" t="s">
        <v>48</v>
      </c>
      <c r="B37" s="64" t="s">
        <v>49</v>
      </c>
      <c r="C37" s="450">
        <v>119</v>
      </c>
      <c r="D37" s="450">
        <v>4</v>
      </c>
      <c r="E37" s="450">
        <f t="shared" si="0"/>
        <v>123</v>
      </c>
      <c r="F37" s="451">
        <v>173</v>
      </c>
      <c r="G37"/>
      <c r="H37" s="406">
        <v>118</v>
      </c>
      <c r="I37" s="406">
        <v>4</v>
      </c>
      <c r="J37" s="406">
        <f t="shared" si="1"/>
        <v>122</v>
      </c>
      <c r="K37" s="407">
        <v>172</v>
      </c>
      <c r="L37" s="30"/>
      <c r="M37" s="38">
        <v>148.32999999999998</v>
      </c>
      <c r="N37" s="3">
        <v>41</v>
      </c>
      <c r="O37" s="3">
        <v>2040</v>
      </c>
      <c r="P37" s="3">
        <v>6280.3517</v>
      </c>
      <c r="Q37" s="3">
        <v>79</v>
      </c>
      <c r="R37" s="3">
        <v>0</v>
      </c>
      <c r="S37" s="3">
        <v>53</v>
      </c>
      <c r="T37" s="3">
        <v>537.1911230000001</v>
      </c>
      <c r="U37" s="3">
        <v>-0.054999999999999716</v>
      </c>
      <c r="V37" s="3">
        <f t="shared" si="4"/>
        <v>9178.817823000001</v>
      </c>
      <c r="W37" s="3">
        <v>-25558.4747</v>
      </c>
      <c r="X37" s="4">
        <f t="shared" si="5"/>
        <v>-16379.656876999998</v>
      </c>
      <c r="Z37" s="244"/>
      <c r="AA37" s="344"/>
      <c r="AB37" s="239"/>
      <c r="AC37" s="268"/>
      <c r="AD37" s="292"/>
      <c r="AE37" s="237">
        <f>1.54*E37-1</f>
        <v>188.42000000000002</v>
      </c>
      <c r="AF37" s="239"/>
      <c r="AG37" s="240"/>
      <c r="AH37" s="236"/>
      <c r="AI37" s="473">
        <f t="shared" si="6"/>
        <v>369</v>
      </c>
      <c r="AJ37" s="241"/>
      <c r="AK37" s="242"/>
      <c r="AL37" s="239"/>
      <c r="AM37" s="240"/>
      <c r="AN37" s="239"/>
      <c r="AO37" s="240"/>
      <c r="AP37" s="239"/>
      <c r="AQ37" s="240"/>
      <c r="AR37" s="239"/>
      <c r="AS37" s="243"/>
      <c r="AT37" s="244"/>
      <c r="AU37" s="243"/>
      <c r="AV37" s="245">
        <f aca="true" t="shared" si="14" ref="AV37:AV52">F37*1</f>
        <v>173</v>
      </c>
      <c r="AW37" s="246"/>
      <c r="AX37" s="247"/>
      <c r="AY37" s="246"/>
      <c r="AZ37" s="231"/>
      <c r="BA37" s="239"/>
      <c r="BB37" s="268"/>
      <c r="BC37" s="248"/>
      <c r="BD37" s="249"/>
      <c r="BE37" s="246"/>
      <c r="BF37" s="345"/>
      <c r="BG37" s="412"/>
      <c r="BH37" s="250"/>
      <c r="BI37" s="252">
        <f t="shared" si="7"/>
        <v>82.62057229859836</v>
      </c>
      <c r="BJ37" s="241"/>
      <c r="BK37" s="232"/>
      <c r="BL37" s="241"/>
      <c r="BM37" s="254"/>
      <c r="BN37" s="255"/>
      <c r="BO37" s="242"/>
      <c r="BP37" s="241"/>
      <c r="BQ37" s="242"/>
      <c r="BR37" s="166"/>
      <c r="BS37" s="218"/>
      <c r="BT37" s="169"/>
      <c r="BU37" s="437"/>
      <c r="BV37" s="46"/>
      <c r="BW37" s="47">
        <f t="shared" si="12"/>
        <v>813.0405722985985</v>
      </c>
      <c r="BX37" s="11"/>
      <c r="BY37" s="93">
        <f t="shared" si="13"/>
        <v>-17192.697449298597</v>
      </c>
      <c r="CA37" s="462">
        <v>-13372</v>
      </c>
      <c r="CB37" s="58"/>
      <c r="CC37" s="94">
        <f t="shared" si="9"/>
        <v>-3820.6974492985973</v>
      </c>
      <c r="CD37" s="134"/>
      <c r="CE37" s="95">
        <v>-17830.485737328687</v>
      </c>
      <c r="CF37" s="446"/>
      <c r="CG37" s="95">
        <v>-16822.25995809574</v>
      </c>
      <c r="CH37" s="134"/>
      <c r="CI37" s="95">
        <v>-16815.97123258373</v>
      </c>
      <c r="CJ37" s="134"/>
      <c r="CK37" s="150">
        <v>-16795.17971211269</v>
      </c>
      <c r="CL37" s="134"/>
      <c r="CM37" s="110">
        <v>-16778.384635007114</v>
      </c>
      <c r="CO37" s="110">
        <v>-16763.648573322655</v>
      </c>
      <c r="CQ37" s="76">
        <v>-16584.353496217078</v>
      </c>
      <c r="CS37" s="74">
        <v>-16578</v>
      </c>
    </row>
    <row r="38" spans="1:97" ht="15.75">
      <c r="A38" s="5" t="s">
        <v>48</v>
      </c>
      <c r="B38" s="62" t="s">
        <v>50</v>
      </c>
      <c r="C38" s="65">
        <v>40</v>
      </c>
      <c r="D38" s="65">
        <v>0</v>
      </c>
      <c r="E38" s="65">
        <f t="shared" si="0"/>
        <v>40</v>
      </c>
      <c r="F38" s="452">
        <v>56</v>
      </c>
      <c r="G38"/>
      <c r="H38" s="106">
        <v>43</v>
      </c>
      <c r="I38" s="106">
        <v>0</v>
      </c>
      <c r="J38" s="106">
        <f t="shared" si="1"/>
        <v>43</v>
      </c>
      <c r="K38" s="408">
        <v>59</v>
      </c>
      <c r="L38" s="30"/>
      <c r="M38" s="35">
        <v>130.46</v>
      </c>
      <c r="N38" s="6">
        <v>12</v>
      </c>
      <c r="O38" s="6">
        <v>0</v>
      </c>
      <c r="P38" s="6">
        <v>1762.8416000000004</v>
      </c>
      <c r="Q38" s="6">
        <v>0</v>
      </c>
      <c r="R38" s="6">
        <v>0</v>
      </c>
      <c r="S38" s="6">
        <v>0</v>
      </c>
      <c r="T38" s="6">
        <v>170.72875220000003</v>
      </c>
      <c r="U38" s="6">
        <v>8.67</v>
      </c>
      <c r="V38" s="6">
        <f t="shared" si="4"/>
        <v>2084.7003522000005</v>
      </c>
      <c r="W38" s="6">
        <v>-8843.442900000002</v>
      </c>
      <c r="X38" s="7">
        <f t="shared" si="5"/>
        <v>-6758.742547800001</v>
      </c>
      <c r="Z38" s="244"/>
      <c r="AA38" s="18"/>
      <c r="AB38" s="239"/>
      <c r="AC38" s="268"/>
      <c r="AD38" s="298"/>
      <c r="AE38" s="18">
        <f aca="true" t="shared" si="15" ref="AE38:AE51">1.54*E38</f>
        <v>61.6</v>
      </c>
      <c r="AF38" s="239"/>
      <c r="AG38" s="240"/>
      <c r="AH38" s="244"/>
      <c r="AI38" s="194">
        <f t="shared" si="6"/>
        <v>120</v>
      </c>
      <c r="AJ38" s="241"/>
      <c r="AK38" s="242"/>
      <c r="AL38" s="239"/>
      <c r="AM38" s="240"/>
      <c r="AN38" s="239"/>
      <c r="AO38" s="240"/>
      <c r="AP38" s="239"/>
      <c r="AQ38" s="240"/>
      <c r="AR38" s="239"/>
      <c r="AS38" s="243"/>
      <c r="AT38" s="244"/>
      <c r="AU38" s="243"/>
      <c r="AV38" s="258">
        <f t="shared" si="14"/>
        <v>56</v>
      </c>
      <c r="AW38" s="259"/>
      <c r="AX38" s="260"/>
      <c r="AY38" s="259"/>
      <c r="AZ38" s="261"/>
      <c r="BA38" s="239"/>
      <c r="BB38" s="268"/>
      <c r="BC38" s="262"/>
      <c r="BD38" s="263"/>
      <c r="BE38" s="264"/>
      <c r="BF38" s="297"/>
      <c r="BG38" s="413"/>
      <c r="BH38" s="265"/>
      <c r="BI38" s="267">
        <f t="shared" si="7"/>
        <v>26.868478796292152</v>
      </c>
      <c r="BJ38" s="241"/>
      <c r="BK38" s="232"/>
      <c r="BL38" s="241"/>
      <c r="BM38" s="254"/>
      <c r="BN38" s="255"/>
      <c r="BO38" s="242"/>
      <c r="BP38" s="241"/>
      <c r="BQ38" s="242"/>
      <c r="BR38" s="173"/>
      <c r="BS38" s="219">
        <v>15124</v>
      </c>
      <c r="BT38" s="169"/>
      <c r="BU38" s="437"/>
      <c r="BV38" s="46"/>
      <c r="BW38" s="48">
        <f t="shared" si="12"/>
        <v>15388.468478796292</v>
      </c>
      <c r="BX38" s="11"/>
      <c r="BY38" s="70">
        <f t="shared" si="13"/>
        <v>-22147.211026596295</v>
      </c>
      <c r="CA38" s="463">
        <v>-15155</v>
      </c>
      <c r="CB38" s="58"/>
      <c r="CC38" s="100">
        <f t="shared" si="9"/>
        <v>-6992.211026596295</v>
      </c>
      <c r="CD38" s="134"/>
      <c r="CE38" s="130">
        <v>-20206.846162506015</v>
      </c>
      <c r="CF38" s="446"/>
      <c r="CG38" s="130">
        <v>-21393.90098555427</v>
      </c>
      <c r="CH38" s="134"/>
      <c r="CI38" s="130">
        <v>-23313.952572254308</v>
      </c>
      <c r="CJ38" s="134"/>
      <c r="CK38" s="151">
        <v>-23300.54414922349</v>
      </c>
      <c r="CL38" s="134"/>
      <c r="CM38" s="111">
        <v>-23517.867102960143</v>
      </c>
      <c r="CO38" s="111">
        <v>-22056.667102960142</v>
      </c>
      <c r="CQ38" s="74">
        <v>-21587.30808753903</v>
      </c>
      <c r="CS38" s="74">
        <v>-21547</v>
      </c>
    </row>
    <row r="39" spans="1:97" ht="15.75">
      <c r="A39" s="5" t="s">
        <v>48</v>
      </c>
      <c r="B39" s="62" t="s">
        <v>51</v>
      </c>
      <c r="C39" s="65">
        <v>105</v>
      </c>
      <c r="D39" s="65">
        <v>0</v>
      </c>
      <c r="E39" s="65">
        <f t="shared" si="0"/>
        <v>105</v>
      </c>
      <c r="F39" s="452">
        <v>142</v>
      </c>
      <c r="G39"/>
      <c r="H39" s="106">
        <v>100</v>
      </c>
      <c r="I39" s="106">
        <v>0</v>
      </c>
      <c r="J39" s="106">
        <f t="shared" si="1"/>
        <v>100</v>
      </c>
      <c r="K39" s="408">
        <v>137</v>
      </c>
      <c r="L39" s="30"/>
      <c r="M39" s="35">
        <v>335.04</v>
      </c>
      <c r="N39" s="6">
        <v>69</v>
      </c>
      <c r="O39" s="6">
        <v>2187</v>
      </c>
      <c r="P39" s="6">
        <v>5498.9298</v>
      </c>
      <c r="Q39" s="6">
        <v>0</v>
      </c>
      <c r="R39" s="6">
        <v>0</v>
      </c>
      <c r="S39" s="6">
        <v>54</v>
      </c>
      <c r="T39" s="6">
        <v>302.1502436</v>
      </c>
      <c r="U39" s="6">
        <v>0</v>
      </c>
      <c r="V39" s="6">
        <f t="shared" si="4"/>
        <v>8446.1200436</v>
      </c>
      <c r="W39" s="6">
        <v>-24381.9472</v>
      </c>
      <c r="X39" s="7">
        <f t="shared" si="5"/>
        <v>-15935.827156399999</v>
      </c>
      <c r="Z39" s="244"/>
      <c r="AA39" s="18"/>
      <c r="AB39" s="239"/>
      <c r="AC39" s="268"/>
      <c r="AD39" s="298"/>
      <c r="AE39" s="18">
        <f>1.54*E39-1</f>
        <v>160.70000000000002</v>
      </c>
      <c r="AF39" s="239"/>
      <c r="AG39" s="240"/>
      <c r="AH39" s="244"/>
      <c r="AI39" s="194">
        <f t="shared" si="6"/>
        <v>315</v>
      </c>
      <c r="AJ39" s="241"/>
      <c r="AK39" s="242"/>
      <c r="AL39" s="239"/>
      <c r="AM39" s="240"/>
      <c r="AN39" s="239"/>
      <c r="AO39" s="240"/>
      <c r="AP39" s="239"/>
      <c r="AQ39" s="240"/>
      <c r="AR39" s="239"/>
      <c r="AS39" s="243"/>
      <c r="AT39" s="244"/>
      <c r="AU39" s="243"/>
      <c r="AV39" s="258">
        <f t="shared" si="14"/>
        <v>142</v>
      </c>
      <c r="AW39" s="259"/>
      <c r="AX39" s="260"/>
      <c r="AY39" s="259"/>
      <c r="AZ39" s="261"/>
      <c r="BA39" s="239"/>
      <c r="BB39" s="268"/>
      <c r="BC39" s="262"/>
      <c r="BD39" s="263"/>
      <c r="BE39" s="264"/>
      <c r="BF39" s="297"/>
      <c r="BG39" s="413"/>
      <c r="BH39" s="265"/>
      <c r="BI39" s="267">
        <f t="shared" si="7"/>
        <v>70.5297568402669</v>
      </c>
      <c r="BJ39" s="241"/>
      <c r="BK39" s="232"/>
      <c r="BL39" s="241"/>
      <c r="BM39" s="254"/>
      <c r="BN39" s="255"/>
      <c r="BO39" s="242"/>
      <c r="BP39" s="241"/>
      <c r="BQ39" s="242"/>
      <c r="BR39" s="173"/>
      <c r="BS39" s="220"/>
      <c r="BT39" s="169"/>
      <c r="BU39" s="437"/>
      <c r="BV39" s="46"/>
      <c r="BW39" s="48">
        <f t="shared" si="12"/>
        <v>688.229756840267</v>
      </c>
      <c r="BX39" s="11"/>
      <c r="BY39" s="70">
        <f t="shared" si="13"/>
        <v>-16624.056913240267</v>
      </c>
      <c r="CA39" s="463">
        <v>-12802</v>
      </c>
      <c r="CB39" s="58"/>
      <c r="CC39" s="100">
        <f t="shared" si="9"/>
        <v>-3822.056913240267</v>
      </c>
      <c r="CD39" s="134"/>
      <c r="CE39" s="130">
        <v>-17067.99835339073</v>
      </c>
      <c r="CF39" s="446"/>
      <c r="CG39" s="130">
        <v>-16291.542670367995</v>
      </c>
      <c r="CH39" s="134"/>
      <c r="CI39" s="130">
        <v>-16278.78220938433</v>
      </c>
      <c r="CJ39" s="134"/>
      <c r="CK39" s="151">
        <v>-16270.256575142585</v>
      </c>
      <c r="CL39" s="134"/>
      <c r="CM39" s="111">
        <v>-16271.8155905637</v>
      </c>
      <c r="CO39" s="111">
        <v>-16312.9655905637</v>
      </c>
      <c r="CQ39" s="74">
        <v>-16131.374605984814</v>
      </c>
      <c r="CS39" s="74">
        <v>-16132</v>
      </c>
    </row>
    <row r="40" spans="1:97" ht="15.75">
      <c r="A40" s="5" t="s">
        <v>48</v>
      </c>
      <c r="B40" s="62" t="s">
        <v>52</v>
      </c>
      <c r="C40" s="65">
        <v>118</v>
      </c>
      <c r="D40" s="65">
        <v>2</v>
      </c>
      <c r="E40" s="65">
        <f t="shared" si="0"/>
        <v>120</v>
      </c>
      <c r="F40" s="452">
        <v>165</v>
      </c>
      <c r="G40"/>
      <c r="H40" s="106">
        <v>117</v>
      </c>
      <c r="I40" s="106">
        <v>1</v>
      </c>
      <c r="J40" s="106">
        <f t="shared" si="1"/>
        <v>118</v>
      </c>
      <c r="K40" s="408">
        <v>164</v>
      </c>
      <c r="L40" s="30"/>
      <c r="M40" s="35">
        <v>284.96</v>
      </c>
      <c r="N40" s="6">
        <v>53</v>
      </c>
      <c r="O40" s="6">
        <v>2040</v>
      </c>
      <c r="P40" s="6">
        <v>4638.1645</v>
      </c>
      <c r="Q40" s="6">
        <v>181</v>
      </c>
      <c r="R40" s="6">
        <v>0</v>
      </c>
      <c r="S40" s="6">
        <v>255</v>
      </c>
      <c r="T40" s="6">
        <v>661.4127696</v>
      </c>
      <c r="U40" s="6">
        <v>22.205</v>
      </c>
      <c r="V40" s="6">
        <f t="shared" si="4"/>
        <v>8135.742269599999</v>
      </c>
      <c r="W40" s="6">
        <v>-20558.5719</v>
      </c>
      <c r="X40" s="7">
        <f t="shared" si="5"/>
        <v>-12422.8296304</v>
      </c>
      <c r="Z40" s="244"/>
      <c r="AA40" s="18"/>
      <c r="AB40" s="239"/>
      <c r="AC40" s="268"/>
      <c r="AD40" s="298"/>
      <c r="AE40" s="18">
        <f>1.54*E40-1</f>
        <v>183.8</v>
      </c>
      <c r="AF40" s="239"/>
      <c r="AG40" s="240"/>
      <c r="AH40" s="244"/>
      <c r="AI40" s="194">
        <f t="shared" si="6"/>
        <v>360</v>
      </c>
      <c r="AJ40" s="241"/>
      <c r="AK40" s="242"/>
      <c r="AL40" s="239"/>
      <c r="AM40" s="240"/>
      <c r="AN40" s="239"/>
      <c r="AO40" s="240"/>
      <c r="AP40" s="239"/>
      <c r="AQ40" s="240"/>
      <c r="AR40" s="239"/>
      <c r="AS40" s="243"/>
      <c r="AT40" s="244"/>
      <c r="AU40" s="243"/>
      <c r="AV40" s="258">
        <f t="shared" si="14"/>
        <v>165</v>
      </c>
      <c r="AW40" s="259"/>
      <c r="AX40" s="260"/>
      <c r="AY40" s="259"/>
      <c r="AZ40" s="261"/>
      <c r="BA40" s="239"/>
      <c r="BB40" s="268"/>
      <c r="BC40" s="262"/>
      <c r="BD40" s="263"/>
      <c r="BE40" s="264"/>
      <c r="BF40" s="297"/>
      <c r="BG40" s="413"/>
      <c r="BH40" s="265"/>
      <c r="BI40" s="267">
        <f t="shared" si="7"/>
        <v>80.60543638887646</v>
      </c>
      <c r="BJ40" s="241"/>
      <c r="BK40" s="232"/>
      <c r="BL40" s="241"/>
      <c r="BM40" s="254"/>
      <c r="BN40" s="255"/>
      <c r="BO40" s="242"/>
      <c r="BP40" s="241"/>
      <c r="BQ40" s="242"/>
      <c r="BR40" s="173"/>
      <c r="BS40" s="220"/>
      <c r="BT40" s="169"/>
      <c r="BU40" s="437"/>
      <c r="BV40" s="46"/>
      <c r="BW40" s="48">
        <f t="shared" si="12"/>
        <v>789.4054363888764</v>
      </c>
      <c r="BX40" s="11"/>
      <c r="BY40" s="70">
        <f t="shared" si="13"/>
        <v>-13212.235066788877</v>
      </c>
      <c r="CA40" s="463">
        <v>-9769</v>
      </c>
      <c r="CB40" s="58"/>
      <c r="CC40" s="100">
        <f t="shared" si="9"/>
        <v>-3443.235066788877</v>
      </c>
      <c r="CD40" s="134"/>
      <c r="CE40" s="130">
        <v>-13026.811642849061</v>
      </c>
      <c r="CF40" s="446"/>
      <c r="CG40" s="130">
        <v>-12849.560479328667</v>
      </c>
      <c r="CH40" s="134"/>
      <c r="CI40" s="130">
        <v>-12851.48612709414</v>
      </c>
      <c r="CJ40" s="134"/>
      <c r="CK40" s="151">
        <v>-12833.675419249346</v>
      </c>
      <c r="CL40" s="134"/>
      <c r="CM40" s="111">
        <v>-13194.675419249346</v>
      </c>
      <c r="CO40" s="111">
        <v>-13292.366403828231</v>
      </c>
      <c r="CQ40" s="74">
        <v>-12640.557388407116</v>
      </c>
      <c r="CS40" s="74">
        <v>-12636</v>
      </c>
    </row>
    <row r="41" spans="1:97" ht="15.75">
      <c r="A41" s="5" t="s">
        <v>48</v>
      </c>
      <c r="B41" s="62" t="s">
        <v>53</v>
      </c>
      <c r="C41" s="65">
        <v>43</v>
      </c>
      <c r="D41" s="65">
        <v>1</v>
      </c>
      <c r="E41" s="65">
        <f t="shared" si="0"/>
        <v>44</v>
      </c>
      <c r="F41" s="452">
        <v>80</v>
      </c>
      <c r="G41"/>
      <c r="H41" s="106">
        <v>41</v>
      </c>
      <c r="I41" s="106">
        <v>2</v>
      </c>
      <c r="J41" s="106">
        <f t="shared" si="1"/>
        <v>43</v>
      </c>
      <c r="K41" s="408">
        <v>79</v>
      </c>
      <c r="L41" s="30"/>
      <c r="M41" s="35">
        <v>186.76</v>
      </c>
      <c r="N41" s="6">
        <v>13</v>
      </c>
      <c r="O41" s="6">
        <v>1020</v>
      </c>
      <c r="P41" s="6">
        <v>2815.6986000000006</v>
      </c>
      <c r="Q41" s="6">
        <v>0</v>
      </c>
      <c r="R41" s="6">
        <v>0</v>
      </c>
      <c r="S41" s="6">
        <v>0</v>
      </c>
      <c r="T41" s="6">
        <v>140.17805940000002</v>
      </c>
      <c r="U41" s="6">
        <v>-0.16500000000000004</v>
      </c>
      <c r="V41" s="6">
        <f t="shared" si="4"/>
        <v>4175.471659400001</v>
      </c>
      <c r="W41" s="6">
        <v>-12962.113099999999</v>
      </c>
      <c r="X41" s="7">
        <f t="shared" si="5"/>
        <v>-8786.641440599997</v>
      </c>
      <c r="Z41" s="244"/>
      <c r="AA41" s="18"/>
      <c r="AB41" s="239"/>
      <c r="AC41" s="268">
        <v>632</v>
      </c>
      <c r="AD41" s="298">
        <v>209</v>
      </c>
      <c r="AE41" s="18">
        <f t="shared" si="15"/>
        <v>67.76</v>
      </c>
      <c r="AF41" s="239"/>
      <c r="AG41" s="240"/>
      <c r="AH41" s="244"/>
      <c r="AI41" s="194">
        <f t="shared" si="6"/>
        <v>132</v>
      </c>
      <c r="AJ41" s="241"/>
      <c r="AK41" s="242"/>
      <c r="AL41" s="239"/>
      <c r="AM41" s="240"/>
      <c r="AN41" s="239"/>
      <c r="AO41" s="240"/>
      <c r="AP41" s="239"/>
      <c r="AQ41" s="240"/>
      <c r="AR41" s="239"/>
      <c r="AS41" s="243"/>
      <c r="AT41" s="244"/>
      <c r="AU41" s="243"/>
      <c r="AV41" s="258">
        <f t="shared" si="14"/>
        <v>80</v>
      </c>
      <c r="AW41" s="259"/>
      <c r="AX41" s="260"/>
      <c r="AY41" s="259"/>
      <c r="AZ41" s="261"/>
      <c r="BA41" s="239"/>
      <c r="BB41" s="268"/>
      <c r="BC41" s="262">
        <v>-357</v>
      </c>
      <c r="BD41" s="263"/>
      <c r="BE41" s="264"/>
      <c r="BF41" s="297"/>
      <c r="BG41" s="413"/>
      <c r="BH41" s="265"/>
      <c r="BI41" s="267">
        <f t="shared" si="7"/>
        <v>29.555326675921364</v>
      </c>
      <c r="BJ41" s="241"/>
      <c r="BK41" s="232"/>
      <c r="BL41" s="241"/>
      <c r="BM41" s="254"/>
      <c r="BN41" s="255"/>
      <c r="BO41" s="242"/>
      <c r="BP41" s="241"/>
      <c r="BQ41" s="242"/>
      <c r="BR41" s="173"/>
      <c r="BS41" s="220"/>
      <c r="BT41" s="169"/>
      <c r="BU41" s="437"/>
      <c r="BV41" s="46"/>
      <c r="BW41" s="48">
        <f t="shared" si="12"/>
        <v>793.3153266759214</v>
      </c>
      <c r="BX41" s="11"/>
      <c r="BY41" s="70">
        <f t="shared" si="13"/>
        <v>-9579.956767275919</v>
      </c>
      <c r="CA41" s="463">
        <v>-7526</v>
      </c>
      <c r="CB41" s="58"/>
      <c r="CC41" s="100">
        <f t="shared" si="9"/>
        <v>-2053.9567672759185</v>
      </c>
      <c r="CD41" s="134"/>
      <c r="CE41" s="130">
        <v>-10033.745055306012</v>
      </c>
      <c r="CF41" s="446"/>
      <c r="CG41" s="130">
        <v>-9224.454052479574</v>
      </c>
      <c r="CH41" s="134"/>
      <c r="CI41" s="130">
        <v>-9263.290037647366</v>
      </c>
      <c r="CJ41" s="134"/>
      <c r="CK41" s="151">
        <v>-9214.797134550176</v>
      </c>
      <c r="CL41" s="134"/>
      <c r="CM41" s="111">
        <v>-9005.238119129059</v>
      </c>
      <c r="CO41" s="111">
        <v>-8966.65614997129</v>
      </c>
      <c r="CQ41" s="74">
        <v>-8893.35614997129</v>
      </c>
      <c r="CS41" s="74">
        <v>-8879</v>
      </c>
    </row>
    <row r="42" spans="1:97" ht="15.75">
      <c r="A42" s="5" t="s">
        <v>48</v>
      </c>
      <c r="B42" s="62" t="s">
        <v>54</v>
      </c>
      <c r="C42" s="65">
        <v>122</v>
      </c>
      <c r="D42" s="65">
        <v>4</v>
      </c>
      <c r="E42" s="65">
        <f t="shared" si="0"/>
        <v>126</v>
      </c>
      <c r="F42" s="452">
        <v>172</v>
      </c>
      <c r="G42"/>
      <c r="H42" s="106">
        <v>117</v>
      </c>
      <c r="I42" s="106">
        <v>4</v>
      </c>
      <c r="J42" s="106">
        <f t="shared" si="1"/>
        <v>121</v>
      </c>
      <c r="K42" s="408">
        <v>171</v>
      </c>
      <c r="L42" s="30"/>
      <c r="M42" s="35">
        <v>360.24</v>
      </c>
      <c r="N42" s="6">
        <v>25</v>
      </c>
      <c r="O42" s="6">
        <v>3207</v>
      </c>
      <c r="P42" s="6">
        <v>5466.146400000001</v>
      </c>
      <c r="Q42" s="6">
        <v>164</v>
      </c>
      <c r="R42" s="6">
        <v>0</v>
      </c>
      <c r="S42" s="6">
        <v>586</v>
      </c>
      <c r="T42" s="6">
        <v>564.2635124000001</v>
      </c>
      <c r="U42" s="6">
        <v>42.69</v>
      </c>
      <c r="V42" s="6">
        <f t="shared" si="4"/>
        <v>10415.339912400003</v>
      </c>
      <c r="W42" s="6">
        <v>-21736.780500000004</v>
      </c>
      <c r="X42" s="7">
        <f t="shared" si="5"/>
        <v>-11321.440587600002</v>
      </c>
      <c r="Z42" s="244"/>
      <c r="AA42" s="18"/>
      <c r="AB42" s="239"/>
      <c r="AC42" s="268"/>
      <c r="AD42" s="298"/>
      <c r="AE42" s="18">
        <f t="shared" si="15"/>
        <v>194.04</v>
      </c>
      <c r="AF42" s="239"/>
      <c r="AG42" s="240"/>
      <c r="AH42" s="244"/>
      <c r="AI42" s="194">
        <f t="shared" si="6"/>
        <v>378</v>
      </c>
      <c r="AJ42" s="241"/>
      <c r="AK42" s="242"/>
      <c r="AL42" s="239"/>
      <c r="AM42" s="240"/>
      <c r="AN42" s="239"/>
      <c r="AO42" s="240"/>
      <c r="AP42" s="239"/>
      <c r="AQ42" s="240"/>
      <c r="AR42" s="239"/>
      <c r="AS42" s="243"/>
      <c r="AT42" s="244"/>
      <c r="AU42" s="243"/>
      <c r="AV42" s="258">
        <f t="shared" si="14"/>
        <v>172</v>
      </c>
      <c r="AW42" s="259"/>
      <c r="AX42" s="260"/>
      <c r="AY42" s="259"/>
      <c r="AZ42" s="261"/>
      <c r="BA42" s="239"/>
      <c r="BB42" s="268"/>
      <c r="BC42" s="262">
        <v>-86</v>
      </c>
      <c r="BD42" s="263"/>
      <c r="BE42" s="264"/>
      <c r="BF42" s="297"/>
      <c r="BG42" s="413"/>
      <c r="BH42" s="265"/>
      <c r="BI42" s="267">
        <f t="shared" si="7"/>
        <v>84.63570820832027</v>
      </c>
      <c r="BJ42" s="241"/>
      <c r="BK42" s="232"/>
      <c r="BL42" s="241"/>
      <c r="BM42" s="254"/>
      <c r="BN42" s="255"/>
      <c r="BO42" s="242"/>
      <c r="BP42" s="241"/>
      <c r="BQ42" s="242"/>
      <c r="BR42" s="173"/>
      <c r="BS42" s="220"/>
      <c r="BT42" s="169"/>
      <c r="BU42" s="437"/>
      <c r="BV42" s="46"/>
      <c r="BW42" s="48">
        <f t="shared" si="12"/>
        <v>742.6757082083202</v>
      </c>
      <c r="BX42" s="11"/>
      <c r="BY42" s="70">
        <f t="shared" si="13"/>
        <v>-12064.116295808322</v>
      </c>
      <c r="CA42" s="463">
        <v>-9576</v>
      </c>
      <c r="CB42" s="58"/>
      <c r="CC42" s="100">
        <f t="shared" si="9"/>
        <v>-2488.1162958083223</v>
      </c>
      <c r="CD42" s="134"/>
      <c r="CE42" s="130">
        <v>-12768.057735958786</v>
      </c>
      <c r="CF42" s="446"/>
      <c r="CG42" s="130">
        <v>-11735.081146319828</v>
      </c>
      <c r="CH42" s="134"/>
      <c r="CI42" s="130">
        <v>-11738.439225404549</v>
      </c>
      <c r="CJ42" s="134"/>
      <c r="CK42" s="151">
        <v>-12040.609330186004</v>
      </c>
      <c r="CL42" s="134"/>
      <c r="CM42" s="111">
        <v>-12079.52243813381</v>
      </c>
      <c r="CO42" s="111">
        <v>-12027.285546081615</v>
      </c>
      <c r="CQ42" s="74">
        <v>-11568.907669450537</v>
      </c>
      <c r="CS42" s="74">
        <v>-11562</v>
      </c>
    </row>
    <row r="43" spans="1:97" ht="15.75">
      <c r="A43" s="5" t="s">
        <v>48</v>
      </c>
      <c r="B43" s="62" t="s">
        <v>55</v>
      </c>
      <c r="C43" s="65">
        <v>53</v>
      </c>
      <c r="D43" s="65">
        <v>2</v>
      </c>
      <c r="E43" s="65">
        <f t="shared" si="0"/>
        <v>55</v>
      </c>
      <c r="F43" s="452">
        <v>69</v>
      </c>
      <c r="G43"/>
      <c r="H43" s="106">
        <v>52</v>
      </c>
      <c r="I43" s="106">
        <v>2</v>
      </c>
      <c r="J43" s="106">
        <f t="shared" si="1"/>
        <v>54</v>
      </c>
      <c r="K43" s="408">
        <v>68</v>
      </c>
      <c r="L43" s="30"/>
      <c r="M43" s="35">
        <v>225.34</v>
      </c>
      <c r="N43" s="6">
        <v>0</v>
      </c>
      <c r="O43" s="6">
        <v>0</v>
      </c>
      <c r="P43" s="6">
        <v>2227.2712</v>
      </c>
      <c r="Q43" s="6">
        <v>90</v>
      </c>
      <c r="R43" s="6">
        <v>0</v>
      </c>
      <c r="S43" s="6">
        <v>668</v>
      </c>
      <c r="T43" s="6">
        <v>99.89784660000001</v>
      </c>
      <c r="U43" s="6">
        <v>4</v>
      </c>
      <c r="V43" s="6">
        <f t="shared" si="4"/>
        <v>3314.5090466</v>
      </c>
      <c r="W43" s="6">
        <v>-9610.284000000001</v>
      </c>
      <c r="X43" s="7">
        <f t="shared" si="5"/>
        <v>-6295.774953400001</v>
      </c>
      <c r="Z43" s="244"/>
      <c r="AA43" s="18"/>
      <c r="AB43" s="239"/>
      <c r="AC43" s="268"/>
      <c r="AD43" s="298"/>
      <c r="AE43" s="18">
        <f t="shared" si="15"/>
        <v>84.7</v>
      </c>
      <c r="AF43" s="239"/>
      <c r="AG43" s="240"/>
      <c r="AH43" s="244"/>
      <c r="AI43" s="194">
        <f t="shared" si="6"/>
        <v>165</v>
      </c>
      <c r="AJ43" s="241"/>
      <c r="AK43" s="242"/>
      <c r="AL43" s="239"/>
      <c r="AM43" s="240"/>
      <c r="AN43" s="239"/>
      <c r="AO43" s="240"/>
      <c r="AP43" s="239"/>
      <c r="AQ43" s="240"/>
      <c r="AR43" s="239"/>
      <c r="AS43" s="243"/>
      <c r="AT43" s="244"/>
      <c r="AU43" s="243"/>
      <c r="AV43" s="258">
        <f t="shared" si="14"/>
        <v>69</v>
      </c>
      <c r="AW43" s="259"/>
      <c r="AX43" s="260"/>
      <c r="AY43" s="259"/>
      <c r="AZ43" s="261"/>
      <c r="BA43" s="239"/>
      <c r="BB43" s="268"/>
      <c r="BC43" s="262"/>
      <c r="BD43" s="263"/>
      <c r="BE43" s="264"/>
      <c r="BF43" s="297"/>
      <c r="BG43" s="413"/>
      <c r="BH43" s="265"/>
      <c r="BI43" s="267">
        <f t="shared" si="7"/>
        <v>36.94415834490171</v>
      </c>
      <c r="BJ43" s="241"/>
      <c r="BK43" s="232"/>
      <c r="BL43" s="241"/>
      <c r="BM43" s="254"/>
      <c r="BN43" s="255"/>
      <c r="BO43" s="242"/>
      <c r="BP43" s="241"/>
      <c r="BQ43" s="242"/>
      <c r="BR43" s="173"/>
      <c r="BS43" s="220"/>
      <c r="BT43" s="169"/>
      <c r="BU43" s="437"/>
      <c r="BV43" s="46"/>
      <c r="BW43" s="48">
        <f t="shared" si="12"/>
        <v>355.6441583449017</v>
      </c>
      <c r="BX43" s="11"/>
      <c r="BY43" s="70">
        <f t="shared" si="13"/>
        <v>-6651.419111744903</v>
      </c>
      <c r="CA43" s="463">
        <v>-4944</v>
      </c>
      <c r="CB43" s="58"/>
      <c r="CC43" s="100">
        <f t="shared" si="9"/>
        <v>-1707.4191117449027</v>
      </c>
      <c r="CD43" s="134"/>
      <c r="CE43" s="130">
        <v>-6591.207399774996</v>
      </c>
      <c r="CF43" s="446"/>
      <c r="CG43" s="130">
        <v>-6476.113971571956</v>
      </c>
      <c r="CH43" s="134"/>
      <c r="CI43" s="130">
        <v>-6466.519981930026</v>
      </c>
      <c r="CJ43" s="134"/>
      <c r="CK43" s="151">
        <v>-6505.489662771294</v>
      </c>
      <c r="CL43" s="134"/>
      <c r="CM43" s="111">
        <v>-6667.694585665719</v>
      </c>
      <c r="CO43" s="111">
        <v>-6575.462616507949</v>
      </c>
      <c r="CQ43" s="74">
        <v>-6380.371631929064</v>
      </c>
      <c r="CS43" s="74">
        <v>-6382</v>
      </c>
    </row>
    <row r="44" spans="1:97" ht="15.75">
      <c r="A44" s="5" t="s">
        <v>48</v>
      </c>
      <c r="B44" s="62" t="s">
        <v>56</v>
      </c>
      <c r="C44" s="65">
        <v>53</v>
      </c>
      <c r="D44" s="65">
        <v>1</v>
      </c>
      <c r="E44" s="65">
        <f t="shared" si="0"/>
        <v>54</v>
      </c>
      <c r="F44" s="452">
        <v>92</v>
      </c>
      <c r="G44"/>
      <c r="H44" s="106">
        <v>50</v>
      </c>
      <c r="I44" s="106">
        <v>1</v>
      </c>
      <c r="J44" s="106">
        <f t="shared" si="1"/>
        <v>51</v>
      </c>
      <c r="K44" s="408">
        <v>89</v>
      </c>
      <c r="L44" s="30"/>
      <c r="M44" s="35">
        <v>11.49</v>
      </c>
      <c r="N44" s="6">
        <v>73</v>
      </c>
      <c r="O44" s="6">
        <v>0</v>
      </c>
      <c r="P44" s="6">
        <v>4311.461000000001</v>
      </c>
      <c r="Q44" s="6">
        <v>98</v>
      </c>
      <c r="R44" s="6">
        <v>0</v>
      </c>
      <c r="S44" s="6">
        <v>8</v>
      </c>
      <c r="T44" s="6">
        <v>201.88754000000003</v>
      </c>
      <c r="U44" s="6">
        <v>-0.4850000000000003</v>
      </c>
      <c r="V44" s="6">
        <f t="shared" si="4"/>
        <v>4703.353540000001</v>
      </c>
      <c r="W44" s="6">
        <v>-17747.351300000002</v>
      </c>
      <c r="X44" s="7">
        <f t="shared" si="5"/>
        <v>-13043.997760000002</v>
      </c>
      <c r="Z44" s="244"/>
      <c r="AA44" s="18"/>
      <c r="AB44" s="239"/>
      <c r="AC44" s="268"/>
      <c r="AD44" s="298"/>
      <c r="AE44" s="18">
        <f>1.54*E44-1</f>
        <v>82.16</v>
      </c>
      <c r="AF44" s="239"/>
      <c r="AG44" s="240"/>
      <c r="AH44" s="244"/>
      <c r="AI44" s="194">
        <f t="shared" si="6"/>
        <v>162</v>
      </c>
      <c r="AJ44" s="241"/>
      <c r="AK44" s="242"/>
      <c r="AL44" s="239"/>
      <c r="AM44" s="240"/>
      <c r="AN44" s="239"/>
      <c r="AO44" s="240"/>
      <c r="AP44" s="239"/>
      <c r="AQ44" s="240"/>
      <c r="AR44" s="239"/>
      <c r="AS44" s="243"/>
      <c r="AT44" s="244"/>
      <c r="AU44" s="243"/>
      <c r="AV44" s="258">
        <f t="shared" si="14"/>
        <v>92</v>
      </c>
      <c r="AW44" s="259"/>
      <c r="AX44" s="260"/>
      <c r="AY44" s="259"/>
      <c r="AZ44" s="261"/>
      <c r="BA44" s="239"/>
      <c r="BB44" s="268"/>
      <c r="BC44" s="262"/>
      <c r="BD44" s="263"/>
      <c r="BE44" s="264"/>
      <c r="BF44" s="297"/>
      <c r="BG44" s="413"/>
      <c r="BH44" s="265"/>
      <c r="BI44" s="267">
        <f t="shared" si="7"/>
        <v>36.2724463749944</v>
      </c>
      <c r="BJ44" s="241"/>
      <c r="BK44" s="232"/>
      <c r="BL44" s="241"/>
      <c r="BM44" s="254"/>
      <c r="BN44" s="255"/>
      <c r="BO44" s="242"/>
      <c r="BP44" s="241"/>
      <c r="BQ44" s="242"/>
      <c r="BR44" s="173"/>
      <c r="BS44" s="219"/>
      <c r="BT44" s="169"/>
      <c r="BU44" s="437"/>
      <c r="BV44" s="46"/>
      <c r="BW44" s="48">
        <f t="shared" si="12"/>
        <v>372.43244637499436</v>
      </c>
      <c r="BX44" s="11"/>
      <c r="BY44" s="70">
        <f t="shared" si="13"/>
        <v>-13416.430206374996</v>
      </c>
      <c r="CA44" s="463">
        <v>-10298</v>
      </c>
      <c r="CB44" s="58"/>
      <c r="CC44" s="100">
        <f t="shared" si="9"/>
        <v>-3118.4302063749965</v>
      </c>
      <c r="CD44" s="134"/>
      <c r="CE44" s="130">
        <v>-13729.795070465274</v>
      </c>
      <c r="CF44" s="446"/>
      <c r="CG44" s="130">
        <v>-13246.11872013019</v>
      </c>
      <c r="CH44" s="134"/>
      <c r="CI44" s="130">
        <v>-13251.962074826557</v>
      </c>
      <c r="CJ44" s="134"/>
      <c r="CK44" s="151">
        <v>-27567.948531055757</v>
      </c>
      <c r="CL44" s="134"/>
      <c r="CM44" s="111">
        <v>-29984.50754647687</v>
      </c>
      <c r="CO44" s="111">
        <v>-27725.55754647687</v>
      </c>
      <c r="CQ44" s="74">
        <v>-29600.948531055754</v>
      </c>
      <c r="CS44" s="74">
        <v>-28728</v>
      </c>
    </row>
    <row r="45" spans="1:97" ht="15.75">
      <c r="A45" s="5" t="s">
        <v>48</v>
      </c>
      <c r="B45" s="62" t="s">
        <v>57</v>
      </c>
      <c r="C45" s="65">
        <v>151</v>
      </c>
      <c r="D45" s="65">
        <v>7</v>
      </c>
      <c r="E45" s="65">
        <f t="shared" si="0"/>
        <v>158</v>
      </c>
      <c r="F45" s="452">
        <v>205</v>
      </c>
      <c r="G45"/>
      <c r="H45" s="106">
        <v>151</v>
      </c>
      <c r="I45" s="106">
        <v>7</v>
      </c>
      <c r="J45" s="106">
        <f t="shared" si="1"/>
        <v>158</v>
      </c>
      <c r="K45" s="408">
        <v>204</v>
      </c>
      <c r="L45" s="30"/>
      <c r="M45" s="35">
        <v>1441.6</v>
      </c>
      <c r="N45" s="6">
        <v>31</v>
      </c>
      <c r="O45" s="6">
        <v>1167</v>
      </c>
      <c r="P45" s="6">
        <v>7470.834800000002</v>
      </c>
      <c r="Q45" s="6">
        <v>14</v>
      </c>
      <c r="R45" s="6">
        <v>0</v>
      </c>
      <c r="S45" s="6">
        <v>225</v>
      </c>
      <c r="T45" s="6">
        <v>439.84727540000006</v>
      </c>
      <c r="U45" s="6">
        <v>259.385</v>
      </c>
      <c r="V45" s="6">
        <f t="shared" si="4"/>
        <v>11048.667075400002</v>
      </c>
      <c r="W45" s="6">
        <v>-28791.1744</v>
      </c>
      <c r="X45" s="7">
        <f t="shared" si="5"/>
        <v>-17742.507324599996</v>
      </c>
      <c r="Z45" s="244"/>
      <c r="AA45" s="18"/>
      <c r="AB45" s="239"/>
      <c r="AC45" s="268"/>
      <c r="AD45" s="298"/>
      <c r="AE45" s="18">
        <f>1.54*E45-1</f>
        <v>242.32</v>
      </c>
      <c r="AF45" s="239"/>
      <c r="AG45" s="240"/>
      <c r="AH45" s="244"/>
      <c r="AI45" s="194">
        <f t="shared" si="6"/>
        <v>474</v>
      </c>
      <c r="AJ45" s="241"/>
      <c r="AK45" s="242"/>
      <c r="AL45" s="239"/>
      <c r="AM45" s="240"/>
      <c r="AN45" s="239"/>
      <c r="AO45" s="240"/>
      <c r="AP45" s="239"/>
      <c r="AQ45" s="240"/>
      <c r="AR45" s="239"/>
      <c r="AS45" s="243"/>
      <c r="AT45" s="244"/>
      <c r="AU45" s="243"/>
      <c r="AV45" s="258">
        <f t="shared" si="14"/>
        <v>205</v>
      </c>
      <c r="AW45" s="259"/>
      <c r="AX45" s="260"/>
      <c r="AY45" s="259"/>
      <c r="AZ45" s="261"/>
      <c r="BA45" s="239"/>
      <c r="BB45" s="268"/>
      <c r="BC45" s="262"/>
      <c r="BD45" s="263"/>
      <c r="BE45" s="264"/>
      <c r="BF45" s="297"/>
      <c r="BG45" s="413"/>
      <c r="BH45" s="265"/>
      <c r="BI45" s="267">
        <f t="shared" si="7"/>
        <v>106.130491245354</v>
      </c>
      <c r="BJ45" s="241"/>
      <c r="BK45" s="232"/>
      <c r="BL45" s="241"/>
      <c r="BM45" s="254"/>
      <c r="BN45" s="255"/>
      <c r="BO45" s="242"/>
      <c r="BP45" s="241"/>
      <c r="BQ45" s="242"/>
      <c r="BR45" s="173"/>
      <c r="BS45" s="220"/>
      <c r="BT45" s="169"/>
      <c r="BU45" s="437"/>
      <c r="BV45" s="46"/>
      <c r="BW45" s="48">
        <f t="shared" si="12"/>
        <v>1027.450491245354</v>
      </c>
      <c r="BX45" s="11"/>
      <c r="BY45" s="70">
        <f t="shared" si="13"/>
        <v>-18769.95781584535</v>
      </c>
      <c r="CA45" s="463">
        <v>-13958</v>
      </c>
      <c r="CB45" s="58"/>
      <c r="CC45" s="100">
        <f t="shared" si="9"/>
        <v>-4811.957815845351</v>
      </c>
      <c r="CD45" s="134"/>
      <c r="CE45" s="130">
        <v>-18610.95781584535</v>
      </c>
      <c r="CF45" s="446"/>
      <c r="CG45" s="130">
        <v>-18292.74243715763</v>
      </c>
      <c r="CH45" s="134"/>
      <c r="CI45" s="130">
        <v>-18293.71598685885</v>
      </c>
      <c r="CJ45" s="134"/>
      <c r="CK45" s="151">
        <v>-18232.44652981945</v>
      </c>
      <c r="CL45" s="134"/>
      <c r="CM45" s="111">
        <v>-18241.123576082795</v>
      </c>
      <c r="CO45" s="111">
        <v>-18249.641606925026</v>
      </c>
      <c r="CQ45" s="74">
        <v>-18018.80062234614</v>
      </c>
      <c r="CS45" s="74">
        <v>-18025</v>
      </c>
    </row>
    <row r="46" spans="1:97" ht="15.75">
      <c r="A46" s="5" t="s">
        <v>48</v>
      </c>
      <c r="B46" s="62" t="s">
        <v>58</v>
      </c>
      <c r="C46" s="65">
        <v>28</v>
      </c>
      <c r="D46" s="65">
        <v>1</v>
      </c>
      <c r="E46" s="65">
        <f t="shared" si="0"/>
        <v>29</v>
      </c>
      <c r="F46" s="452">
        <v>56</v>
      </c>
      <c r="G46"/>
      <c r="H46" s="106">
        <v>29</v>
      </c>
      <c r="I46" s="106">
        <v>1</v>
      </c>
      <c r="J46" s="106">
        <f t="shared" si="1"/>
        <v>30</v>
      </c>
      <c r="K46" s="408">
        <v>58</v>
      </c>
      <c r="L46" s="30"/>
      <c r="M46" s="35">
        <v>252.21</v>
      </c>
      <c r="N46" s="6">
        <v>0</v>
      </c>
      <c r="O46" s="6">
        <v>0</v>
      </c>
      <c r="P46" s="6">
        <v>1949.056200000001</v>
      </c>
      <c r="Q46" s="6">
        <v>3</v>
      </c>
      <c r="R46" s="6">
        <v>0</v>
      </c>
      <c r="S46" s="6">
        <v>0</v>
      </c>
      <c r="T46" s="6">
        <v>123.15139940000002</v>
      </c>
      <c r="U46" s="6">
        <v>0</v>
      </c>
      <c r="V46" s="6">
        <f t="shared" si="4"/>
        <v>2327.417599400001</v>
      </c>
      <c r="W46" s="6">
        <v>-8375.600400000001</v>
      </c>
      <c r="X46" s="7">
        <f t="shared" si="5"/>
        <v>-6048.1828006</v>
      </c>
      <c r="Z46" s="244"/>
      <c r="AA46" s="18"/>
      <c r="AB46" s="239"/>
      <c r="AC46" s="268"/>
      <c r="AD46" s="298"/>
      <c r="AE46" s="18">
        <f t="shared" si="15"/>
        <v>44.660000000000004</v>
      </c>
      <c r="AF46" s="239"/>
      <c r="AG46" s="240"/>
      <c r="AH46" s="244"/>
      <c r="AI46" s="194">
        <f t="shared" si="6"/>
        <v>87</v>
      </c>
      <c r="AJ46" s="241"/>
      <c r="AK46" s="242"/>
      <c r="AL46" s="239"/>
      <c r="AM46" s="240"/>
      <c r="AN46" s="239"/>
      <c r="AO46" s="240"/>
      <c r="AP46" s="239"/>
      <c r="AQ46" s="240"/>
      <c r="AR46" s="239"/>
      <c r="AS46" s="243"/>
      <c r="AT46" s="244"/>
      <c r="AU46" s="243"/>
      <c r="AV46" s="258">
        <f t="shared" si="14"/>
        <v>56</v>
      </c>
      <c r="AW46" s="259"/>
      <c r="AX46" s="260"/>
      <c r="AY46" s="259"/>
      <c r="AZ46" s="261"/>
      <c r="BA46" s="239"/>
      <c r="BB46" s="268"/>
      <c r="BC46" s="262"/>
      <c r="BD46" s="263"/>
      <c r="BE46" s="264"/>
      <c r="BF46" s="297"/>
      <c r="BG46" s="413"/>
      <c r="BH46" s="265"/>
      <c r="BI46" s="267">
        <f t="shared" si="7"/>
        <v>19.479647127311807</v>
      </c>
      <c r="BJ46" s="241"/>
      <c r="BK46" s="232"/>
      <c r="BL46" s="241"/>
      <c r="BM46" s="254"/>
      <c r="BN46" s="255"/>
      <c r="BO46" s="242"/>
      <c r="BP46" s="241"/>
      <c r="BQ46" s="242"/>
      <c r="BR46" s="173"/>
      <c r="BS46" s="219">
        <v>15124</v>
      </c>
      <c r="BT46" s="169"/>
      <c r="BU46" s="437"/>
      <c r="BV46" s="46"/>
      <c r="BW46" s="48">
        <f t="shared" si="12"/>
        <v>15331.139647127311</v>
      </c>
      <c r="BX46" s="11"/>
      <c r="BY46" s="70">
        <f t="shared" si="13"/>
        <v>-21379.32244772731</v>
      </c>
      <c r="CA46" s="463">
        <v>-14592</v>
      </c>
      <c r="CB46" s="58"/>
      <c r="CC46" s="100">
        <f t="shared" si="9"/>
        <v>-6787.322447727311</v>
      </c>
      <c r="CD46" s="134"/>
      <c r="CE46" s="130">
        <v>-19454.53415969722</v>
      </c>
      <c r="CF46" s="446"/>
      <c r="CG46" s="130">
        <v>-20837.94259989482</v>
      </c>
      <c r="CH46" s="134"/>
      <c r="CI46" s="130">
        <v>-22832.980675792463</v>
      </c>
      <c r="CJ46" s="134"/>
      <c r="CK46" s="151">
        <v>-22828.512278654565</v>
      </c>
      <c r="CL46" s="134"/>
      <c r="CM46" s="111">
        <v>-22500.512278654565</v>
      </c>
      <c r="CO46" s="111">
        <v>-22039.562278654565</v>
      </c>
      <c r="CQ46" s="74">
        <v>-21641.953263233452</v>
      </c>
      <c r="CS46" s="74">
        <v>-22979</v>
      </c>
    </row>
    <row r="47" spans="1:97" ht="15.75">
      <c r="A47" s="5" t="s">
        <v>48</v>
      </c>
      <c r="B47" s="62" t="s">
        <v>59</v>
      </c>
      <c r="C47" s="65">
        <v>36</v>
      </c>
      <c r="D47" s="65">
        <v>1</v>
      </c>
      <c r="E47" s="65">
        <f t="shared" si="0"/>
        <v>37</v>
      </c>
      <c r="F47" s="452">
        <v>62</v>
      </c>
      <c r="G47"/>
      <c r="H47" s="106">
        <v>37</v>
      </c>
      <c r="I47" s="106">
        <v>1</v>
      </c>
      <c r="J47" s="106">
        <f t="shared" si="1"/>
        <v>38</v>
      </c>
      <c r="K47" s="408">
        <v>62</v>
      </c>
      <c r="L47" s="30"/>
      <c r="M47" s="35">
        <v>211.64</v>
      </c>
      <c r="N47" s="6">
        <v>44</v>
      </c>
      <c r="O47" s="6">
        <v>1020</v>
      </c>
      <c r="P47" s="6">
        <v>2036.2783999999997</v>
      </c>
      <c r="Q47" s="6">
        <v>0</v>
      </c>
      <c r="R47" s="6">
        <v>0</v>
      </c>
      <c r="S47" s="6">
        <v>0</v>
      </c>
      <c r="T47" s="6">
        <v>193.08232440000003</v>
      </c>
      <c r="U47" s="6">
        <v>-0.33000000000000007</v>
      </c>
      <c r="V47" s="6">
        <f t="shared" si="4"/>
        <v>3504.6707243999995</v>
      </c>
      <c r="W47" s="6">
        <v>-8842.5584</v>
      </c>
      <c r="X47" s="7">
        <f t="shared" si="5"/>
        <v>-5337.887675600001</v>
      </c>
      <c r="Z47" s="244"/>
      <c r="AA47" s="18"/>
      <c r="AB47" s="239"/>
      <c r="AC47" s="268"/>
      <c r="AD47" s="298">
        <v>806</v>
      </c>
      <c r="AE47" s="18">
        <f>1.54*E47-1</f>
        <v>55.980000000000004</v>
      </c>
      <c r="AF47" s="239"/>
      <c r="AG47" s="240"/>
      <c r="AH47" s="244"/>
      <c r="AI47" s="194">
        <f t="shared" si="6"/>
        <v>111</v>
      </c>
      <c r="AJ47" s="241"/>
      <c r="AK47" s="242"/>
      <c r="AL47" s="239"/>
      <c r="AM47" s="240"/>
      <c r="AN47" s="239"/>
      <c r="AO47" s="240"/>
      <c r="AP47" s="239"/>
      <c r="AQ47" s="240"/>
      <c r="AR47" s="239"/>
      <c r="AS47" s="243"/>
      <c r="AT47" s="244"/>
      <c r="AU47" s="243"/>
      <c r="AV47" s="258">
        <f t="shared" si="14"/>
        <v>62</v>
      </c>
      <c r="AW47" s="259"/>
      <c r="AX47" s="260"/>
      <c r="AY47" s="259"/>
      <c r="AZ47" s="261"/>
      <c r="BA47" s="239"/>
      <c r="BB47" s="268"/>
      <c r="BC47" s="262"/>
      <c r="BD47" s="263"/>
      <c r="BE47" s="264"/>
      <c r="BF47" s="297"/>
      <c r="BG47" s="413"/>
      <c r="BH47" s="265"/>
      <c r="BI47" s="267">
        <f t="shared" si="7"/>
        <v>24.85334288657024</v>
      </c>
      <c r="BJ47" s="241"/>
      <c r="BK47" s="232"/>
      <c r="BL47" s="241"/>
      <c r="BM47" s="254"/>
      <c r="BN47" s="255"/>
      <c r="BO47" s="242"/>
      <c r="BP47" s="241"/>
      <c r="BQ47" s="242"/>
      <c r="BR47" s="173"/>
      <c r="BS47" s="220"/>
      <c r="BT47" s="169"/>
      <c r="BU47" s="437"/>
      <c r="BV47" s="46"/>
      <c r="BW47" s="48">
        <f t="shared" si="12"/>
        <v>1059.8333428865703</v>
      </c>
      <c r="BX47" s="11"/>
      <c r="BY47" s="70">
        <f t="shared" si="13"/>
        <v>-6397.721018486571</v>
      </c>
      <c r="CA47" s="463">
        <v>-4775</v>
      </c>
      <c r="CB47" s="58"/>
      <c r="CC47" s="100">
        <f t="shared" si="9"/>
        <v>-1622.7210184865708</v>
      </c>
      <c r="CD47" s="134"/>
      <c r="CE47" s="130">
        <v>-6364.932730456479</v>
      </c>
      <c r="CF47" s="446"/>
      <c r="CG47" s="130">
        <v>-6289.173881187199</v>
      </c>
      <c r="CH47" s="134"/>
      <c r="CI47" s="130">
        <v>-5487.659127461246</v>
      </c>
      <c r="CJ47" s="134"/>
      <c r="CK47" s="151">
        <v>-5485.807307865719</v>
      </c>
      <c r="CL47" s="134"/>
      <c r="CM47" s="111">
        <v>-5485.807307865719</v>
      </c>
      <c r="CO47" s="111">
        <v>-5489.466323286833</v>
      </c>
      <c r="CQ47" s="74">
        <v>-5428.366323286834</v>
      </c>
      <c r="CS47" s="74">
        <v>-5430</v>
      </c>
    </row>
    <row r="48" spans="1:97" ht="15.75">
      <c r="A48" s="5" t="s">
        <v>48</v>
      </c>
      <c r="B48" s="62" t="s">
        <v>60</v>
      </c>
      <c r="C48" s="65">
        <v>106</v>
      </c>
      <c r="D48" s="65">
        <v>3</v>
      </c>
      <c r="E48" s="65">
        <f t="shared" si="0"/>
        <v>109</v>
      </c>
      <c r="F48" s="452">
        <v>133</v>
      </c>
      <c r="G48"/>
      <c r="H48" s="106">
        <v>107</v>
      </c>
      <c r="I48" s="106">
        <v>3</v>
      </c>
      <c r="J48" s="106">
        <f t="shared" si="1"/>
        <v>110</v>
      </c>
      <c r="K48" s="408">
        <v>134</v>
      </c>
      <c r="L48" s="30"/>
      <c r="M48" s="35">
        <v>772.48</v>
      </c>
      <c r="N48" s="6">
        <v>173</v>
      </c>
      <c r="O48" s="6">
        <v>1020</v>
      </c>
      <c r="P48" s="6">
        <v>4130.1054</v>
      </c>
      <c r="Q48" s="6">
        <v>184</v>
      </c>
      <c r="R48" s="6">
        <v>0</v>
      </c>
      <c r="S48" s="6">
        <v>924</v>
      </c>
      <c r="T48" s="6">
        <v>182.3555286</v>
      </c>
      <c r="U48" s="6">
        <v>39.37</v>
      </c>
      <c r="V48" s="6">
        <f t="shared" si="4"/>
        <v>7425.3109286</v>
      </c>
      <c r="W48" s="6">
        <v>-19284.7851</v>
      </c>
      <c r="X48" s="7">
        <f t="shared" si="5"/>
        <v>-11859.474171400001</v>
      </c>
      <c r="Z48" s="244"/>
      <c r="AA48" s="18"/>
      <c r="AB48" s="239"/>
      <c r="AC48" s="268"/>
      <c r="AD48" s="298"/>
      <c r="AE48" s="18">
        <f t="shared" si="15"/>
        <v>167.86</v>
      </c>
      <c r="AF48" s="239"/>
      <c r="AG48" s="240"/>
      <c r="AH48" s="244"/>
      <c r="AI48" s="194">
        <f t="shared" si="6"/>
        <v>327</v>
      </c>
      <c r="AJ48" s="241"/>
      <c r="AK48" s="242"/>
      <c r="AL48" s="239"/>
      <c r="AM48" s="240"/>
      <c r="AN48" s="239"/>
      <c r="AO48" s="240"/>
      <c r="AP48" s="239"/>
      <c r="AQ48" s="240"/>
      <c r="AR48" s="239"/>
      <c r="AS48" s="243"/>
      <c r="AT48" s="244"/>
      <c r="AU48" s="243"/>
      <c r="AV48" s="258">
        <f t="shared" si="14"/>
        <v>133</v>
      </c>
      <c r="AW48" s="259"/>
      <c r="AX48" s="260"/>
      <c r="AY48" s="259"/>
      <c r="AZ48" s="261"/>
      <c r="BA48" s="239"/>
      <c r="BB48" s="268"/>
      <c r="BC48" s="262"/>
      <c r="BD48" s="263"/>
      <c r="BE48" s="264"/>
      <c r="BF48" s="297"/>
      <c r="BG48" s="413"/>
      <c r="BH48" s="265"/>
      <c r="BI48" s="267">
        <f t="shared" si="7"/>
        <v>73.21660471989611</v>
      </c>
      <c r="BJ48" s="241"/>
      <c r="BK48" s="232"/>
      <c r="BL48" s="241"/>
      <c r="BM48" s="254"/>
      <c r="BN48" s="255"/>
      <c r="BO48" s="242"/>
      <c r="BP48" s="241"/>
      <c r="BQ48" s="242"/>
      <c r="BR48" s="173"/>
      <c r="BS48" s="220"/>
      <c r="BT48" s="169"/>
      <c r="BU48" s="437"/>
      <c r="BV48" s="46"/>
      <c r="BW48" s="48">
        <f t="shared" si="12"/>
        <v>701.0766047198961</v>
      </c>
      <c r="BX48" s="11"/>
      <c r="BY48" s="70">
        <f t="shared" si="13"/>
        <v>-12560.550776119897</v>
      </c>
      <c r="CA48" s="463">
        <v>-9728</v>
      </c>
      <c r="CB48" s="58"/>
      <c r="CC48" s="100">
        <f t="shared" si="9"/>
        <v>-2832.550776119897</v>
      </c>
      <c r="CD48" s="134"/>
      <c r="CE48" s="130">
        <v>-12970.762488089804</v>
      </c>
      <c r="CF48" s="446"/>
      <c r="CG48" s="130">
        <v>-12239.678614036291</v>
      </c>
      <c r="CH48" s="134"/>
      <c r="CI48" s="130">
        <v>-12254.91138179761</v>
      </c>
      <c r="CJ48" s="134"/>
      <c r="CK48" s="151">
        <v>-12319.67405277604</v>
      </c>
      <c r="CL48" s="134"/>
      <c r="CM48" s="111">
        <v>-12282.02814530273</v>
      </c>
      <c r="CO48" s="111">
        <v>-12363.210114460499</v>
      </c>
      <c r="CQ48" s="74">
        <v>-12076.351099039384</v>
      </c>
      <c r="CS48" s="74">
        <v>-12063</v>
      </c>
    </row>
    <row r="49" spans="1:97" ht="15.75">
      <c r="A49" s="5" t="s">
        <v>48</v>
      </c>
      <c r="B49" s="62" t="s">
        <v>61</v>
      </c>
      <c r="C49" s="65">
        <v>16</v>
      </c>
      <c r="D49" s="65">
        <v>0</v>
      </c>
      <c r="E49" s="65">
        <f t="shared" si="0"/>
        <v>16</v>
      </c>
      <c r="F49" s="452">
        <v>38</v>
      </c>
      <c r="G49"/>
      <c r="H49" s="106">
        <v>17</v>
      </c>
      <c r="I49" s="106">
        <v>0</v>
      </c>
      <c r="J49" s="106">
        <f t="shared" si="1"/>
        <v>17</v>
      </c>
      <c r="K49" s="408">
        <v>39</v>
      </c>
      <c r="L49" s="30"/>
      <c r="M49" s="35">
        <v>336</v>
      </c>
      <c r="N49" s="6">
        <v>149</v>
      </c>
      <c r="O49" s="6">
        <v>2187</v>
      </c>
      <c r="P49" s="6">
        <v>1231.4279999999999</v>
      </c>
      <c r="Q49" s="6">
        <v>0</v>
      </c>
      <c r="R49" s="6">
        <v>0</v>
      </c>
      <c r="S49" s="6">
        <v>0</v>
      </c>
      <c r="T49" s="6">
        <v>7.516054200000001</v>
      </c>
      <c r="U49" s="6">
        <v>0</v>
      </c>
      <c r="V49" s="6">
        <f t="shared" si="4"/>
        <v>3910.9440541999998</v>
      </c>
      <c r="W49" s="6">
        <v>-6023.205199999999</v>
      </c>
      <c r="X49" s="7">
        <f t="shared" si="5"/>
        <v>-2112.2611457999997</v>
      </c>
      <c r="Z49" s="244"/>
      <c r="AA49" s="18"/>
      <c r="AB49" s="239"/>
      <c r="AC49" s="268"/>
      <c r="AD49" s="298"/>
      <c r="AE49" s="18">
        <f t="shared" si="15"/>
        <v>24.64</v>
      </c>
      <c r="AF49" s="239"/>
      <c r="AG49" s="240"/>
      <c r="AH49" s="244"/>
      <c r="AI49" s="194">
        <f t="shared" si="6"/>
        <v>48</v>
      </c>
      <c r="AJ49" s="241"/>
      <c r="AK49" s="242"/>
      <c r="AL49" s="239"/>
      <c r="AM49" s="240"/>
      <c r="AN49" s="239"/>
      <c r="AO49" s="240"/>
      <c r="AP49" s="239"/>
      <c r="AQ49" s="240"/>
      <c r="AR49" s="239"/>
      <c r="AS49" s="243"/>
      <c r="AT49" s="244"/>
      <c r="AU49" s="243"/>
      <c r="AV49" s="258">
        <f t="shared" si="14"/>
        <v>38</v>
      </c>
      <c r="AW49" s="259"/>
      <c r="AX49" s="260"/>
      <c r="AY49" s="259"/>
      <c r="AZ49" s="261"/>
      <c r="BA49" s="239"/>
      <c r="BB49" s="268"/>
      <c r="BC49" s="262"/>
      <c r="BD49" s="263"/>
      <c r="BE49" s="264"/>
      <c r="BF49" s="297"/>
      <c r="BG49" s="413"/>
      <c r="BH49" s="265"/>
      <c r="BI49" s="267">
        <f t="shared" si="7"/>
        <v>10.74739151851686</v>
      </c>
      <c r="BJ49" s="241"/>
      <c r="BK49" s="232"/>
      <c r="BL49" s="241"/>
      <c r="BM49" s="254"/>
      <c r="BN49" s="255"/>
      <c r="BO49" s="242"/>
      <c r="BP49" s="241"/>
      <c r="BQ49" s="242"/>
      <c r="BR49" s="173"/>
      <c r="BS49" s="219">
        <v>12953</v>
      </c>
      <c r="BT49" s="169"/>
      <c r="BU49" s="437"/>
      <c r="BV49" s="46"/>
      <c r="BW49" s="48">
        <f t="shared" si="12"/>
        <v>13074.387391518518</v>
      </c>
      <c r="BX49" s="11"/>
      <c r="BY49" s="70">
        <f t="shared" si="13"/>
        <v>-15186.648537318517</v>
      </c>
      <c r="CA49" s="463">
        <v>-10055</v>
      </c>
      <c r="CB49" s="58"/>
      <c r="CC49" s="100">
        <f t="shared" si="9"/>
        <v>-5131.648537318517</v>
      </c>
      <c r="CD49" s="134"/>
      <c r="CE49" s="130">
        <v>-13405.860249288424</v>
      </c>
      <c r="CF49" s="446"/>
      <c r="CG49" s="130">
        <v>-14615.18619055183</v>
      </c>
      <c r="CH49" s="134"/>
      <c r="CI49" s="130">
        <v>-16769.20829913756</v>
      </c>
      <c r="CJ49" s="134"/>
      <c r="CK49" s="151">
        <v>-16768.323423380072</v>
      </c>
      <c r="CL49" s="134"/>
      <c r="CM49" s="111">
        <v>-16201.4414542223</v>
      </c>
      <c r="CO49" s="111">
        <v>-13326.4414542223</v>
      </c>
      <c r="CQ49" s="74">
        <v>-13188.55948506453</v>
      </c>
      <c r="CS49" s="74">
        <v>-13479</v>
      </c>
    </row>
    <row r="50" spans="1:97" ht="15.75">
      <c r="A50" s="5" t="s">
        <v>48</v>
      </c>
      <c r="B50" s="62" t="s">
        <v>62</v>
      </c>
      <c r="C50" s="65">
        <v>43</v>
      </c>
      <c r="D50" s="65">
        <v>0</v>
      </c>
      <c r="E50" s="65">
        <f t="shared" si="0"/>
        <v>43</v>
      </c>
      <c r="F50" s="452">
        <v>80</v>
      </c>
      <c r="G50"/>
      <c r="H50" s="106">
        <v>38</v>
      </c>
      <c r="I50" s="106">
        <v>1</v>
      </c>
      <c r="J50" s="106">
        <f t="shared" si="1"/>
        <v>39</v>
      </c>
      <c r="K50" s="408">
        <v>79</v>
      </c>
      <c r="L50" s="30"/>
      <c r="M50" s="35">
        <v>378.1</v>
      </c>
      <c r="N50" s="6">
        <v>49</v>
      </c>
      <c r="O50" s="6">
        <v>2187</v>
      </c>
      <c r="P50" s="6">
        <v>2923.3776000000007</v>
      </c>
      <c r="Q50" s="6">
        <v>0</v>
      </c>
      <c r="R50" s="6">
        <v>0</v>
      </c>
      <c r="S50" s="6">
        <v>135</v>
      </c>
      <c r="T50" s="6">
        <v>164.1126786</v>
      </c>
      <c r="U50" s="6">
        <v>105.175</v>
      </c>
      <c r="V50" s="6">
        <f t="shared" si="4"/>
        <v>5941.765278600001</v>
      </c>
      <c r="W50" s="6">
        <v>-12075.966799999998</v>
      </c>
      <c r="X50" s="7">
        <f t="shared" si="5"/>
        <v>-6134.201521399998</v>
      </c>
      <c r="Z50" s="244"/>
      <c r="AA50" s="18"/>
      <c r="AB50" s="239"/>
      <c r="AC50" s="268"/>
      <c r="AD50" s="298"/>
      <c r="AE50" s="18">
        <f>1.54*E50-2</f>
        <v>64.22</v>
      </c>
      <c r="AF50" s="239"/>
      <c r="AG50" s="240"/>
      <c r="AH50" s="244"/>
      <c r="AI50" s="194">
        <f t="shared" si="6"/>
        <v>129</v>
      </c>
      <c r="AJ50" s="241"/>
      <c r="AK50" s="242"/>
      <c r="AL50" s="239"/>
      <c r="AM50" s="240"/>
      <c r="AN50" s="239"/>
      <c r="AO50" s="240"/>
      <c r="AP50" s="239"/>
      <c r="AQ50" s="240"/>
      <c r="AR50" s="239"/>
      <c r="AS50" s="243"/>
      <c r="AT50" s="244"/>
      <c r="AU50" s="243"/>
      <c r="AV50" s="258">
        <f t="shared" si="14"/>
        <v>80</v>
      </c>
      <c r="AW50" s="259"/>
      <c r="AX50" s="260"/>
      <c r="AY50" s="259"/>
      <c r="AZ50" s="261"/>
      <c r="BA50" s="239"/>
      <c r="BB50" s="268"/>
      <c r="BC50" s="346"/>
      <c r="BD50" s="263"/>
      <c r="BE50" s="264"/>
      <c r="BF50" s="297"/>
      <c r="BG50" s="413"/>
      <c r="BH50" s="265"/>
      <c r="BI50" s="267">
        <f t="shared" si="7"/>
        <v>28.88361470601406</v>
      </c>
      <c r="BJ50" s="241"/>
      <c r="BK50" s="232"/>
      <c r="BL50" s="241"/>
      <c r="BM50" s="254"/>
      <c r="BN50" s="255"/>
      <c r="BO50" s="242"/>
      <c r="BP50" s="241"/>
      <c r="BQ50" s="242"/>
      <c r="BR50" s="173"/>
      <c r="BS50" s="219">
        <v>25222</v>
      </c>
      <c r="BT50" s="169"/>
      <c r="BU50" s="437"/>
      <c r="BV50" s="46"/>
      <c r="BW50" s="48">
        <f t="shared" si="12"/>
        <v>25524.103614706015</v>
      </c>
      <c r="BX50" s="11"/>
      <c r="BY50" s="70">
        <f t="shared" si="13"/>
        <v>-31658.305136106013</v>
      </c>
      <c r="CA50" s="463">
        <v>-20468</v>
      </c>
      <c r="CB50" s="58"/>
      <c r="CC50" s="100">
        <f t="shared" si="9"/>
        <v>-11190.305136106013</v>
      </c>
      <c r="CD50" s="134"/>
      <c r="CE50" s="130">
        <v>-27290.458288226382</v>
      </c>
      <c r="CF50" s="446"/>
      <c r="CG50" s="130">
        <v>-29246.83355286189</v>
      </c>
      <c r="CH50" s="134"/>
      <c r="CI50" s="130">
        <v>-32727.09582807512</v>
      </c>
      <c r="CJ50" s="134"/>
      <c r="CK50" s="151">
        <v>-32732.003122823488</v>
      </c>
      <c r="CL50" s="134"/>
      <c r="CM50" s="111">
        <v>-32911.68016908683</v>
      </c>
      <c r="CO50" s="111">
        <v>-29784.107215350177</v>
      </c>
      <c r="CQ50" s="74">
        <v>-30481.711307876867</v>
      </c>
      <c r="CS50" s="74">
        <v>-32498</v>
      </c>
    </row>
    <row r="51" spans="1:97" ht="15.75">
      <c r="A51" s="5" t="s">
        <v>48</v>
      </c>
      <c r="B51" s="62" t="s">
        <v>63</v>
      </c>
      <c r="C51" s="65">
        <v>106</v>
      </c>
      <c r="D51" s="65">
        <v>1</v>
      </c>
      <c r="E51" s="65">
        <f t="shared" si="0"/>
        <v>107</v>
      </c>
      <c r="F51" s="452">
        <v>144</v>
      </c>
      <c r="G51"/>
      <c r="H51" s="106">
        <v>105</v>
      </c>
      <c r="I51" s="106">
        <v>1</v>
      </c>
      <c r="J51" s="106">
        <f t="shared" si="1"/>
        <v>106</v>
      </c>
      <c r="K51" s="408">
        <v>143</v>
      </c>
      <c r="L51" s="30"/>
      <c r="M51" s="35">
        <v>271.51</v>
      </c>
      <c r="N51" s="6">
        <v>128</v>
      </c>
      <c r="O51" s="6">
        <v>0</v>
      </c>
      <c r="P51" s="6">
        <v>4073.4701999999997</v>
      </c>
      <c r="Q51" s="6">
        <v>0</v>
      </c>
      <c r="R51" s="6">
        <v>0</v>
      </c>
      <c r="S51" s="6">
        <v>66</v>
      </c>
      <c r="T51" s="6">
        <v>346.44388340000006</v>
      </c>
      <c r="U51" s="6">
        <v>-0.4350000000000023</v>
      </c>
      <c r="V51" s="6">
        <f t="shared" si="4"/>
        <v>4884.9890834</v>
      </c>
      <c r="W51" s="6">
        <v>-18281.2141</v>
      </c>
      <c r="X51" s="7">
        <f t="shared" si="5"/>
        <v>-13396.225016600001</v>
      </c>
      <c r="Z51" s="244"/>
      <c r="AA51" s="18"/>
      <c r="AB51" s="239"/>
      <c r="AC51" s="268"/>
      <c r="AD51" s="298"/>
      <c r="AE51" s="18">
        <f t="shared" si="15"/>
        <v>164.78</v>
      </c>
      <c r="AF51" s="239"/>
      <c r="AG51" s="240"/>
      <c r="AH51" s="244"/>
      <c r="AI51" s="194">
        <f t="shared" si="6"/>
        <v>321</v>
      </c>
      <c r="AJ51" s="241"/>
      <c r="AK51" s="242"/>
      <c r="AL51" s="239"/>
      <c r="AM51" s="240"/>
      <c r="AN51" s="239"/>
      <c r="AO51" s="240"/>
      <c r="AP51" s="239"/>
      <c r="AQ51" s="240"/>
      <c r="AR51" s="239"/>
      <c r="AS51" s="243"/>
      <c r="AT51" s="244"/>
      <c r="AU51" s="243"/>
      <c r="AV51" s="258">
        <f t="shared" si="14"/>
        <v>144</v>
      </c>
      <c r="AW51" s="259"/>
      <c r="AX51" s="260"/>
      <c r="AY51" s="259"/>
      <c r="AZ51" s="261"/>
      <c r="BA51" s="239"/>
      <c r="BB51" s="268"/>
      <c r="BC51" s="262">
        <v>-197</v>
      </c>
      <c r="BD51" s="263"/>
      <c r="BE51" s="264"/>
      <c r="BF51" s="297"/>
      <c r="BG51" s="413"/>
      <c r="BH51" s="265"/>
      <c r="BI51" s="267">
        <f t="shared" si="7"/>
        <v>71.8731807800815</v>
      </c>
      <c r="BJ51" s="241"/>
      <c r="BK51" s="232"/>
      <c r="BL51" s="241"/>
      <c r="BM51" s="254"/>
      <c r="BN51" s="255"/>
      <c r="BO51" s="242"/>
      <c r="BP51" s="241"/>
      <c r="BQ51" s="242"/>
      <c r="BR51" s="173"/>
      <c r="BS51" s="220"/>
      <c r="BT51" s="169"/>
      <c r="BU51" s="437"/>
      <c r="BV51" s="46"/>
      <c r="BW51" s="48">
        <f t="shared" si="12"/>
        <v>504.65318078008147</v>
      </c>
      <c r="BX51" s="11"/>
      <c r="BY51" s="70">
        <f t="shared" si="13"/>
        <v>-13900.878197380083</v>
      </c>
      <c r="CA51" s="463">
        <v>-10804</v>
      </c>
      <c r="CB51" s="58"/>
      <c r="CC51" s="100">
        <f t="shared" si="9"/>
        <v>-3096.8781973800833</v>
      </c>
      <c r="CD51" s="134"/>
      <c r="CE51" s="130">
        <v>-14406.666485410176</v>
      </c>
      <c r="CF51" s="446"/>
      <c r="CG51" s="130">
        <v>-13826.903052943911</v>
      </c>
      <c r="CH51" s="134"/>
      <c r="CI51" s="130">
        <v>-13921.592218846175</v>
      </c>
      <c r="CJ51" s="134"/>
      <c r="CK51" s="151">
        <v>-13920.685574132624</v>
      </c>
      <c r="CL51" s="134"/>
      <c r="CM51" s="111">
        <v>-14509.244589553738</v>
      </c>
      <c r="CO51" s="111">
        <v>-14241.453604974853</v>
      </c>
      <c r="CQ51" s="74">
        <v>-13598.362620395968</v>
      </c>
      <c r="CS51" s="74">
        <v>-13594</v>
      </c>
    </row>
    <row r="52" spans="1:97" s="58" customFormat="1" ht="16.5" thickBot="1">
      <c r="A52" s="81" t="s">
        <v>48</v>
      </c>
      <c r="B52" s="63" t="s">
        <v>64</v>
      </c>
      <c r="C52" s="453">
        <v>152</v>
      </c>
      <c r="D52" s="453">
        <v>6</v>
      </c>
      <c r="E52" s="453">
        <f t="shared" si="0"/>
        <v>158</v>
      </c>
      <c r="F52" s="454">
        <v>200</v>
      </c>
      <c r="G52"/>
      <c r="H52" s="409">
        <v>147</v>
      </c>
      <c r="I52" s="409">
        <v>5</v>
      </c>
      <c r="J52" s="409">
        <f t="shared" si="1"/>
        <v>152</v>
      </c>
      <c r="K52" s="410">
        <v>194</v>
      </c>
      <c r="L52" s="60"/>
      <c r="M52" s="82">
        <v>1187.34</v>
      </c>
      <c r="N52" s="83">
        <v>218</v>
      </c>
      <c r="O52" s="83">
        <v>4080</v>
      </c>
      <c r="P52" s="83">
        <v>6570.547200000001</v>
      </c>
      <c r="Q52" s="83">
        <v>0</v>
      </c>
      <c r="R52" s="83">
        <v>0</v>
      </c>
      <c r="S52" s="83">
        <v>3896</v>
      </c>
      <c r="T52" s="83">
        <v>1013.1105938000002</v>
      </c>
      <c r="U52" s="83">
        <v>155.735</v>
      </c>
      <c r="V52" s="83">
        <f t="shared" si="4"/>
        <v>17120.7327938</v>
      </c>
      <c r="W52" s="83">
        <v>-28640.95740000001</v>
      </c>
      <c r="X52" s="84">
        <f t="shared" si="5"/>
        <v>-11520.224606200009</v>
      </c>
      <c r="Z52" s="317"/>
      <c r="AA52" s="318"/>
      <c r="AB52" s="347"/>
      <c r="AC52" s="348"/>
      <c r="AD52" s="366"/>
      <c r="AE52" s="424">
        <f>1.54*E52-1</f>
        <v>242.32</v>
      </c>
      <c r="AF52" s="347"/>
      <c r="AG52" s="349"/>
      <c r="AH52" s="317"/>
      <c r="AI52" s="197">
        <f t="shared" si="6"/>
        <v>474</v>
      </c>
      <c r="AJ52" s="350"/>
      <c r="AK52" s="233"/>
      <c r="AL52" s="347"/>
      <c r="AM52" s="349"/>
      <c r="AN52" s="347"/>
      <c r="AO52" s="349"/>
      <c r="AP52" s="347"/>
      <c r="AQ52" s="349"/>
      <c r="AR52" s="347"/>
      <c r="AS52" s="351"/>
      <c r="AT52" s="352"/>
      <c r="AU52" s="351"/>
      <c r="AV52" s="279">
        <f t="shared" si="14"/>
        <v>200</v>
      </c>
      <c r="AW52" s="280"/>
      <c r="AX52" s="280"/>
      <c r="AY52" s="280"/>
      <c r="AZ52" s="282"/>
      <c r="BA52" s="347"/>
      <c r="BB52" s="304"/>
      <c r="BC52" s="283">
        <v>-120</v>
      </c>
      <c r="BD52" s="284"/>
      <c r="BE52" s="285"/>
      <c r="BF52" s="353"/>
      <c r="BG52" s="414"/>
      <c r="BH52" s="286"/>
      <c r="BI52" s="288">
        <f t="shared" si="7"/>
        <v>106.130491245354</v>
      </c>
      <c r="BJ52" s="350"/>
      <c r="BK52" s="233"/>
      <c r="BL52" s="350"/>
      <c r="BM52" s="354"/>
      <c r="BN52" s="355"/>
      <c r="BO52" s="233"/>
      <c r="BP52" s="350"/>
      <c r="BQ52" s="233"/>
      <c r="BR52" s="185"/>
      <c r="BS52" s="221">
        <v>37546</v>
      </c>
      <c r="BT52" s="190"/>
      <c r="BU52" s="439"/>
      <c r="BV52" s="85"/>
      <c r="BW52" s="50">
        <f t="shared" si="12"/>
        <v>38448.450491245356</v>
      </c>
      <c r="BX52" s="86"/>
      <c r="BY52" s="87">
        <f t="shared" si="13"/>
        <v>-49968.67509744536</v>
      </c>
      <c r="CA52" s="464">
        <v>-33608</v>
      </c>
      <c r="CC52" s="88">
        <f t="shared" si="9"/>
        <v>-16360.67509744536</v>
      </c>
      <c r="CD52" s="134"/>
      <c r="CE52" s="131">
        <v>-44810.40482562591</v>
      </c>
      <c r="CF52" s="446"/>
      <c r="CG52" s="131">
        <v>-48146.93331246526</v>
      </c>
      <c r="CH52" s="134"/>
      <c r="CI52" s="131">
        <v>-51862.801832900484</v>
      </c>
      <c r="CJ52" s="134"/>
      <c r="CK52" s="149">
        <v>-51991.39987310392</v>
      </c>
      <c r="CL52" s="134"/>
      <c r="CM52" s="114">
        <v>-49463.51790394615</v>
      </c>
      <c r="CN52" s="69"/>
      <c r="CO52" s="114">
        <v>-49236.012981051725</v>
      </c>
      <c r="CP52" s="69"/>
      <c r="CQ52" s="89">
        <v>-40229.667073578414</v>
      </c>
      <c r="CS52" s="89">
        <v>-53820</v>
      </c>
    </row>
    <row r="53" spans="1:97" s="58" customFormat="1" ht="15.75">
      <c r="A53" s="90" t="s">
        <v>65</v>
      </c>
      <c r="B53" s="64" t="s">
        <v>66</v>
      </c>
      <c r="C53" s="450">
        <v>596</v>
      </c>
      <c r="D53" s="450">
        <v>11</v>
      </c>
      <c r="E53" s="450">
        <f t="shared" si="0"/>
        <v>607</v>
      </c>
      <c r="F53" s="451">
        <v>876</v>
      </c>
      <c r="G53"/>
      <c r="H53" s="406">
        <v>591</v>
      </c>
      <c r="I53" s="406">
        <v>11</v>
      </c>
      <c r="J53" s="406">
        <f t="shared" si="1"/>
        <v>602</v>
      </c>
      <c r="K53" s="407">
        <v>865</v>
      </c>
      <c r="L53" s="60"/>
      <c r="M53" s="9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f>119592+15900</f>
        <v>135492</v>
      </c>
      <c r="W53" s="41">
        <v>10852.031099999998</v>
      </c>
      <c r="X53" s="92">
        <f t="shared" si="5"/>
        <v>146344.0311</v>
      </c>
      <c r="Z53" s="356"/>
      <c r="AA53" s="357">
        <f>F53*2</f>
        <v>1752</v>
      </c>
      <c r="AB53" s="358"/>
      <c r="AC53" s="359">
        <v>2620</v>
      </c>
      <c r="AD53" s="360">
        <v>4734</v>
      </c>
      <c r="AE53" s="237">
        <f>1.54*E53-4</f>
        <v>930.78</v>
      </c>
      <c r="AF53" s="358"/>
      <c r="AG53" s="361"/>
      <c r="AH53" s="356"/>
      <c r="AI53" s="473">
        <f t="shared" si="6"/>
        <v>1821</v>
      </c>
      <c r="AJ53" s="365"/>
      <c r="AK53" s="363"/>
      <c r="AL53" s="356"/>
      <c r="AM53" s="361"/>
      <c r="AN53" s="358"/>
      <c r="AO53" s="364"/>
      <c r="AP53" s="356"/>
      <c r="AQ53" s="361"/>
      <c r="AR53" s="356"/>
      <c r="AS53" s="364"/>
      <c r="AT53" s="356"/>
      <c r="AU53" s="364"/>
      <c r="AV53" s="295">
        <f>F53*4</f>
        <v>3504</v>
      </c>
      <c r="AW53" s="264">
        <v>-324</v>
      </c>
      <c r="AX53" s="264">
        <v>410</v>
      </c>
      <c r="AY53" s="264">
        <v>695</v>
      </c>
      <c r="AZ53" s="261"/>
      <c r="BA53" s="358"/>
      <c r="BB53" s="361"/>
      <c r="BC53" s="248">
        <v>31</v>
      </c>
      <c r="BD53" s="249"/>
      <c r="BE53" s="246"/>
      <c r="BF53" s="345"/>
      <c r="BG53" s="412"/>
      <c r="BH53" s="250"/>
      <c r="BI53" s="252">
        <f t="shared" si="7"/>
        <v>407.7291657337334</v>
      </c>
      <c r="BJ53" s="365"/>
      <c r="BK53" s="425"/>
      <c r="BL53" s="362"/>
      <c r="BM53" s="363"/>
      <c r="BN53" s="362"/>
      <c r="BO53" s="363"/>
      <c r="BP53" s="362"/>
      <c r="BQ53" s="363"/>
      <c r="BR53" s="193"/>
      <c r="BS53" s="181"/>
      <c r="BT53" s="192"/>
      <c r="BU53" s="231">
        <v>183300</v>
      </c>
      <c r="BV53" s="85"/>
      <c r="BW53" s="47">
        <f t="shared" si="12"/>
        <v>199881.50916573373</v>
      </c>
      <c r="BX53" s="86"/>
      <c r="BY53" s="93">
        <f t="shared" si="13"/>
        <v>-53537.47806573374</v>
      </c>
      <c r="CA53" s="462">
        <v>-32543</v>
      </c>
      <c r="CC53" s="94">
        <f t="shared" si="9"/>
        <v>-20994.47806573374</v>
      </c>
      <c r="CD53" s="134"/>
      <c r="CE53" s="95">
        <v>-43391.4195058842</v>
      </c>
      <c r="CF53" s="446"/>
      <c r="CG53" s="95">
        <v>-49923.73537681042</v>
      </c>
      <c r="CH53" s="134"/>
      <c r="CI53" s="95">
        <v>-61081.70995606377</v>
      </c>
      <c r="CJ53" s="134"/>
      <c r="CK53" s="147">
        <v>-38971.37815266906</v>
      </c>
      <c r="CL53" s="134"/>
      <c r="CM53" s="119">
        <v>-26066.52732230132</v>
      </c>
      <c r="CO53" s="119">
        <v>-34611.52073867142</v>
      </c>
      <c r="CQ53" s="95">
        <v>-33273.31415504153</v>
      </c>
      <c r="CS53" s="95">
        <v>138528</v>
      </c>
    </row>
    <row r="54" spans="1:97" s="58" customFormat="1" ht="15.75">
      <c r="A54" s="96" t="s">
        <v>67</v>
      </c>
      <c r="B54" s="62" t="s">
        <v>68</v>
      </c>
      <c r="C54" s="65">
        <v>31</v>
      </c>
      <c r="D54" s="65">
        <v>0</v>
      </c>
      <c r="E54" s="65">
        <f t="shared" si="0"/>
        <v>31</v>
      </c>
      <c r="F54" s="452">
        <v>53</v>
      </c>
      <c r="G54"/>
      <c r="H54" s="106">
        <v>30</v>
      </c>
      <c r="I54" s="106">
        <v>0</v>
      </c>
      <c r="J54" s="106">
        <f t="shared" si="1"/>
        <v>30</v>
      </c>
      <c r="K54" s="408">
        <v>52</v>
      </c>
      <c r="L54" s="60"/>
      <c r="M54" s="97">
        <v>301.99</v>
      </c>
      <c r="N54" s="98">
        <v>97</v>
      </c>
      <c r="O54" s="98">
        <v>1020</v>
      </c>
      <c r="P54" s="98">
        <v>5940.232400000001</v>
      </c>
      <c r="Q54" s="98">
        <v>0</v>
      </c>
      <c r="R54" s="98">
        <v>0</v>
      </c>
      <c r="S54" s="98">
        <v>236</v>
      </c>
      <c r="T54" s="98">
        <v>136.947483</v>
      </c>
      <c r="U54" s="98">
        <v>50.934999999999995</v>
      </c>
      <c r="V54" s="98">
        <f t="shared" si="4"/>
        <v>7783.104883000001</v>
      </c>
      <c r="W54" s="98">
        <v>-4378.375849999999</v>
      </c>
      <c r="X54" s="99">
        <f t="shared" si="5"/>
        <v>3404.7290330000014</v>
      </c>
      <c r="Z54" s="301"/>
      <c r="AA54" s="302"/>
      <c r="AB54" s="303"/>
      <c r="AC54" s="304"/>
      <c r="AD54" s="305"/>
      <c r="AE54" s="18">
        <f>1.54*E54</f>
        <v>47.74</v>
      </c>
      <c r="AF54" s="303"/>
      <c r="AG54" s="306"/>
      <c r="AH54" s="301"/>
      <c r="AI54" s="194">
        <f t="shared" si="6"/>
        <v>93</v>
      </c>
      <c r="AJ54" s="307"/>
      <c r="AK54" s="232"/>
      <c r="AL54" s="301"/>
      <c r="AM54" s="306"/>
      <c r="AN54" s="303"/>
      <c r="AO54" s="308"/>
      <c r="AP54" s="301"/>
      <c r="AQ54" s="306"/>
      <c r="AR54" s="301"/>
      <c r="AS54" s="308"/>
      <c r="AT54" s="301"/>
      <c r="AU54" s="308"/>
      <c r="AV54" s="258">
        <f>F54*1</f>
        <v>53</v>
      </c>
      <c r="AW54" s="259"/>
      <c r="AX54" s="259"/>
      <c r="AY54" s="259"/>
      <c r="AZ54" s="261"/>
      <c r="BA54" s="303"/>
      <c r="BB54" s="306"/>
      <c r="BC54" s="262"/>
      <c r="BD54" s="263"/>
      <c r="BE54" s="264"/>
      <c r="BF54" s="297"/>
      <c r="BG54" s="413"/>
      <c r="BH54" s="265"/>
      <c r="BI54" s="267">
        <f t="shared" si="7"/>
        <v>20.823071067126417</v>
      </c>
      <c r="BJ54" s="307"/>
      <c r="BK54" s="309"/>
      <c r="BL54" s="310"/>
      <c r="BM54" s="232"/>
      <c r="BN54" s="310"/>
      <c r="BO54" s="232"/>
      <c r="BP54" s="310"/>
      <c r="BQ54" s="232"/>
      <c r="BR54" s="179"/>
      <c r="BS54" s="181"/>
      <c r="BT54" s="182"/>
      <c r="BU54" s="232"/>
      <c r="BV54" s="85"/>
      <c r="BW54" s="48">
        <f t="shared" si="12"/>
        <v>214.56307106712643</v>
      </c>
      <c r="BX54" s="86"/>
      <c r="BY54" s="70">
        <f t="shared" si="13"/>
        <v>3190.165961932875</v>
      </c>
      <c r="CA54" s="463">
        <v>2132</v>
      </c>
      <c r="CC54" s="100">
        <f t="shared" si="9"/>
        <v>1058.1659619328748</v>
      </c>
      <c r="CD54" s="134"/>
      <c r="CE54" s="130">
        <v>2843.3776739027826</v>
      </c>
      <c r="CF54" s="446"/>
      <c r="CG54" s="130">
        <v>3284.3872917469503</v>
      </c>
      <c r="CH54" s="134"/>
      <c r="CI54" s="130">
        <v>3280.9918715110057</v>
      </c>
      <c r="CJ54" s="134"/>
      <c r="CK54" s="148">
        <v>3277.722508682089</v>
      </c>
      <c r="CL54" s="134"/>
      <c r="CM54" s="113">
        <v>3276.722508682089</v>
      </c>
      <c r="CO54" s="113">
        <v>3272.913493260974</v>
      </c>
      <c r="CQ54" s="77">
        <v>3329.722508682089</v>
      </c>
      <c r="CS54" s="77">
        <v>3329</v>
      </c>
    </row>
    <row r="55" spans="1:97" s="58" customFormat="1" ht="15.75">
      <c r="A55" s="96" t="s">
        <v>69</v>
      </c>
      <c r="B55" s="62" t="s">
        <v>70</v>
      </c>
      <c r="C55" s="65">
        <v>701</v>
      </c>
      <c r="D55" s="65">
        <v>8</v>
      </c>
      <c r="E55" s="65">
        <f t="shared" si="0"/>
        <v>709</v>
      </c>
      <c r="F55" s="452">
        <v>758</v>
      </c>
      <c r="G55"/>
      <c r="H55" s="106">
        <v>701</v>
      </c>
      <c r="I55" s="106">
        <v>9</v>
      </c>
      <c r="J55" s="106">
        <f t="shared" si="1"/>
        <v>710</v>
      </c>
      <c r="K55" s="408">
        <v>758</v>
      </c>
      <c r="L55" s="60"/>
      <c r="M55" s="120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3019</v>
      </c>
      <c r="W55" s="121">
        <v>9415.441500000003</v>
      </c>
      <c r="X55" s="122">
        <f t="shared" si="5"/>
        <v>12434.441500000003</v>
      </c>
      <c r="Z55" s="366"/>
      <c r="AA55" s="367">
        <f>F55*2</f>
        <v>1516</v>
      </c>
      <c r="AB55" s="347"/>
      <c r="AC55" s="348">
        <v>3512</v>
      </c>
      <c r="AD55" s="366">
        <v>3512</v>
      </c>
      <c r="AE55" s="18">
        <f>1.54*E55-4</f>
        <v>1087.8600000000001</v>
      </c>
      <c r="AF55" s="347"/>
      <c r="AG55" s="349"/>
      <c r="AH55" s="352"/>
      <c r="AI55" s="194">
        <f t="shared" si="6"/>
        <v>2127</v>
      </c>
      <c r="AJ55" s="350"/>
      <c r="AK55" s="233"/>
      <c r="AL55" s="352"/>
      <c r="AM55" s="349"/>
      <c r="AN55" s="347"/>
      <c r="AO55" s="351"/>
      <c r="AP55" s="352"/>
      <c r="AQ55" s="349"/>
      <c r="AR55" s="352"/>
      <c r="AS55" s="351"/>
      <c r="AT55" s="352"/>
      <c r="AU55" s="351"/>
      <c r="AV55" s="258">
        <f>F55*4</f>
        <v>3032</v>
      </c>
      <c r="AW55" s="259"/>
      <c r="AX55" s="259"/>
      <c r="AY55" s="259"/>
      <c r="AZ55" s="368"/>
      <c r="BA55" s="347"/>
      <c r="BB55" s="349"/>
      <c r="BC55" s="328">
        <v>1047</v>
      </c>
      <c r="BD55" s="329"/>
      <c r="BE55" s="312">
        <v>1594</v>
      </c>
      <c r="BF55" s="330"/>
      <c r="BG55" s="415"/>
      <c r="BH55" s="330"/>
      <c r="BI55" s="267">
        <f t="shared" si="7"/>
        <v>476.24378666427833</v>
      </c>
      <c r="BJ55" s="350"/>
      <c r="BK55" s="354"/>
      <c r="BL55" s="355"/>
      <c r="BM55" s="233"/>
      <c r="BN55" s="355"/>
      <c r="BO55" s="233"/>
      <c r="BP55" s="355"/>
      <c r="BQ55" s="233"/>
      <c r="BR55" s="191"/>
      <c r="BS55" s="189"/>
      <c r="BT55" s="190"/>
      <c r="BU55" s="233"/>
      <c r="BV55" s="85"/>
      <c r="BW55" s="48">
        <f t="shared" si="12"/>
        <v>17904.10378666428</v>
      </c>
      <c r="BX55" s="86"/>
      <c r="BY55" s="126">
        <f t="shared" si="13"/>
        <v>-5469.662286664277</v>
      </c>
      <c r="CA55" s="463">
        <v>-1955</v>
      </c>
      <c r="CC55" s="128">
        <f t="shared" si="9"/>
        <v>-3514.6622866642774</v>
      </c>
      <c r="CD55" s="134"/>
      <c r="CE55" s="130">
        <v>-2608.8739986341825</v>
      </c>
      <c r="CF55" s="446"/>
      <c r="CG55" s="130">
        <v>3504.664174260919</v>
      </c>
      <c r="CH55" s="134"/>
      <c r="CI55" s="130">
        <v>5397.506802055976</v>
      </c>
      <c r="CJ55" s="134"/>
      <c r="CK55" s="148">
        <v>6606.658581850536</v>
      </c>
      <c r="CL55" s="134"/>
      <c r="CM55" s="124">
        <v>8848.453658956112</v>
      </c>
      <c r="CO55" s="124">
        <v>9149.220859430607</v>
      </c>
      <c r="CQ55" s="125">
        <v>13587.404430011866</v>
      </c>
      <c r="CS55" s="125">
        <v>-1395</v>
      </c>
    </row>
    <row r="56" spans="1:97" s="58" customFormat="1" ht="15.75">
      <c r="A56" s="96" t="s">
        <v>69</v>
      </c>
      <c r="B56" s="62" t="s">
        <v>117</v>
      </c>
      <c r="C56" s="65">
        <v>138</v>
      </c>
      <c r="D56" s="65">
        <v>6</v>
      </c>
      <c r="E56" s="65">
        <f t="shared" si="0"/>
        <v>144</v>
      </c>
      <c r="F56" s="452">
        <v>160</v>
      </c>
      <c r="G56"/>
      <c r="H56" s="106">
        <v>132</v>
      </c>
      <c r="I56" s="106">
        <v>6</v>
      </c>
      <c r="J56" s="106">
        <f t="shared" si="1"/>
        <v>138</v>
      </c>
      <c r="K56" s="408">
        <v>156</v>
      </c>
      <c r="L56" s="60"/>
      <c r="M56" s="97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9">
        <v>-10711</v>
      </c>
      <c r="Z56" s="369"/>
      <c r="AA56" s="367">
        <f>F56*2</f>
        <v>320</v>
      </c>
      <c r="AB56" s="370"/>
      <c r="AC56" s="302">
        <v>3400</v>
      </c>
      <c r="AD56" s="369"/>
      <c r="AE56" s="18">
        <f>1.54*E56-1</f>
        <v>220.76</v>
      </c>
      <c r="AF56" s="370"/>
      <c r="AG56" s="371"/>
      <c r="AH56" s="372"/>
      <c r="AI56" s="194">
        <f t="shared" si="6"/>
        <v>432</v>
      </c>
      <c r="AJ56" s="376"/>
      <c r="AK56" s="234"/>
      <c r="AL56" s="372"/>
      <c r="AM56" s="371"/>
      <c r="AN56" s="370"/>
      <c r="AO56" s="374"/>
      <c r="AP56" s="372"/>
      <c r="AQ56" s="371"/>
      <c r="AR56" s="372"/>
      <c r="AS56" s="374"/>
      <c r="AT56" s="372"/>
      <c r="AU56" s="374"/>
      <c r="AV56" s="258">
        <f>F56*4</f>
        <v>640</v>
      </c>
      <c r="AW56" s="259"/>
      <c r="AX56" s="259"/>
      <c r="AY56" s="259"/>
      <c r="AZ56" s="316"/>
      <c r="BA56" s="370"/>
      <c r="BB56" s="371"/>
      <c r="BC56" s="375"/>
      <c r="BD56" s="311"/>
      <c r="BE56" s="259"/>
      <c r="BF56" s="311"/>
      <c r="BG56" s="419"/>
      <c r="BH56" s="311"/>
      <c r="BI56" s="267">
        <f t="shared" si="7"/>
        <v>96.72652366665174</v>
      </c>
      <c r="BJ56" s="376"/>
      <c r="BK56" s="426"/>
      <c r="BL56" s="373"/>
      <c r="BM56" s="234"/>
      <c r="BN56" s="373"/>
      <c r="BO56" s="234"/>
      <c r="BP56" s="373"/>
      <c r="BQ56" s="234"/>
      <c r="BR56" s="195"/>
      <c r="BS56" s="194"/>
      <c r="BT56" s="196"/>
      <c r="BU56" s="234"/>
      <c r="BV56" s="85"/>
      <c r="BW56" s="48">
        <f t="shared" si="12"/>
        <v>5109.486523666652</v>
      </c>
      <c r="BX56" s="86"/>
      <c r="BY56" s="126">
        <f t="shared" si="13"/>
        <v>-15820.486523666652</v>
      </c>
      <c r="CA56" s="463">
        <v>-12530</v>
      </c>
      <c r="CC56" s="128">
        <f t="shared" si="9"/>
        <v>-3290.486523666652</v>
      </c>
      <c r="CD56" s="134"/>
      <c r="CE56" s="130">
        <v>-16706.216251847207</v>
      </c>
      <c r="CF56" s="446"/>
      <c r="CG56" s="130">
        <v>-13759.181719555194</v>
      </c>
      <c r="CH56" s="134"/>
      <c r="CI56" s="130">
        <v>-13654.872928176796</v>
      </c>
      <c r="CJ56" s="134"/>
      <c r="CK56" s="148">
        <v>-13226</v>
      </c>
      <c r="CL56" s="134"/>
      <c r="CM56" s="113"/>
      <c r="CO56" s="129"/>
      <c r="CQ56" s="130"/>
      <c r="CS56" s="130"/>
    </row>
    <row r="57" spans="1:97" s="58" customFormat="1" ht="16.5" thickBot="1">
      <c r="A57" s="81" t="s">
        <v>69</v>
      </c>
      <c r="B57" s="63" t="s">
        <v>118</v>
      </c>
      <c r="C57" s="453">
        <v>396</v>
      </c>
      <c r="D57" s="453">
        <v>4</v>
      </c>
      <c r="E57" s="453">
        <f t="shared" si="0"/>
        <v>400</v>
      </c>
      <c r="F57" s="454">
        <v>425</v>
      </c>
      <c r="G57"/>
      <c r="H57" s="409">
        <v>404</v>
      </c>
      <c r="I57" s="409">
        <v>4</v>
      </c>
      <c r="J57" s="409">
        <f t="shared" si="1"/>
        <v>408</v>
      </c>
      <c r="K57" s="410">
        <v>447</v>
      </c>
      <c r="L57" s="60"/>
      <c r="M57" s="82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4">
        <v>-24421</v>
      </c>
      <c r="Z57" s="377"/>
      <c r="AA57" s="318">
        <f>F57*2</f>
        <v>850</v>
      </c>
      <c r="AB57" s="378"/>
      <c r="AC57" s="318">
        <v>3679</v>
      </c>
      <c r="AD57" s="377"/>
      <c r="AE57" s="270">
        <f>1.54*E57-2</f>
        <v>614</v>
      </c>
      <c r="AF57" s="378"/>
      <c r="AG57" s="379"/>
      <c r="AH57" s="380"/>
      <c r="AI57" s="197">
        <f t="shared" si="6"/>
        <v>1200</v>
      </c>
      <c r="AJ57" s="386"/>
      <c r="AK57" s="235"/>
      <c r="AL57" s="380"/>
      <c r="AM57" s="379"/>
      <c r="AN57" s="378"/>
      <c r="AO57" s="382"/>
      <c r="AP57" s="380"/>
      <c r="AQ57" s="379"/>
      <c r="AR57" s="380"/>
      <c r="AS57" s="382"/>
      <c r="AT57" s="380"/>
      <c r="AU57" s="382"/>
      <c r="AV57" s="279">
        <f>F57*4</f>
        <v>1700</v>
      </c>
      <c r="AW57" s="280"/>
      <c r="AX57" s="280">
        <v>375</v>
      </c>
      <c r="AY57" s="280"/>
      <c r="AZ57" s="383"/>
      <c r="BA57" s="378"/>
      <c r="BB57" s="379"/>
      <c r="BC57" s="384"/>
      <c r="BD57" s="385"/>
      <c r="BE57" s="280"/>
      <c r="BF57" s="385"/>
      <c r="BG57" s="420"/>
      <c r="BH57" s="385"/>
      <c r="BI57" s="288">
        <f t="shared" si="7"/>
        <v>268.6847879629215</v>
      </c>
      <c r="BJ57" s="386"/>
      <c r="BK57" s="427"/>
      <c r="BL57" s="381"/>
      <c r="BM57" s="235"/>
      <c r="BN57" s="381"/>
      <c r="BO57" s="235"/>
      <c r="BP57" s="381"/>
      <c r="BQ57" s="235"/>
      <c r="BR57" s="198"/>
      <c r="BS57" s="197"/>
      <c r="BT57" s="199"/>
      <c r="BU57" s="235"/>
      <c r="BV57" s="85"/>
      <c r="BW57" s="50">
        <f t="shared" si="12"/>
        <v>8686.684787962922</v>
      </c>
      <c r="BX57" s="86"/>
      <c r="BY57" s="127">
        <f t="shared" si="13"/>
        <v>-33107.68478796292</v>
      </c>
      <c r="CA57" s="464">
        <v>-24955</v>
      </c>
      <c r="CC57" s="103">
        <f t="shared" si="9"/>
        <v>-8152.68478796292</v>
      </c>
      <c r="CD57" s="134"/>
      <c r="CE57" s="131">
        <v>-33274.378483722176</v>
      </c>
      <c r="CF57" s="446"/>
      <c r="CG57" s="131">
        <v>-26437.462435584486</v>
      </c>
      <c r="CH57" s="134"/>
      <c r="CI57" s="131">
        <v>-31541.262385653474</v>
      </c>
      <c r="CJ57" s="134"/>
      <c r="CK57" s="149">
        <v>-30217</v>
      </c>
      <c r="CL57" s="134"/>
      <c r="CM57" s="114"/>
      <c r="CO57" s="114"/>
      <c r="CQ57" s="131"/>
      <c r="CS57" s="131"/>
    </row>
    <row r="58" spans="2:97" ht="15.75" thickBot="1">
      <c r="B58" s="58"/>
      <c r="C58" s="71"/>
      <c r="D58" s="71"/>
      <c r="E58" s="71"/>
      <c r="F58" s="455"/>
      <c r="H58" s="58"/>
      <c r="I58" s="58"/>
      <c r="J58" s="58"/>
      <c r="K58" s="58"/>
      <c r="Z58" s="143"/>
      <c r="AA58" s="208"/>
      <c r="AB58" s="143"/>
      <c r="AC58" s="210"/>
      <c r="AD58" s="208"/>
      <c r="AE58" s="208"/>
      <c r="AF58" s="208"/>
      <c r="AG58" s="208"/>
      <c r="AH58" s="208"/>
      <c r="AI58" s="432"/>
      <c r="AJ58" s="212"/>
      <c r="AK58" s="212"/>
      <c r="AL58" s="143"/>
      <c r="AM58" s="143"/>
      <c r="AN58" s="143"/>
      <c r="AO58" s="143"/>
      <c r="AP58" s="143"/>
      <c r="AQ58" s="143"/>
      <c r="AR58" s="208"/>
      <c r="AS58" s="208"/>
      <c r="AT58" s="143"/>
      <c r="AU58" s="143"/>
      <c r="AV58" s="212"/>
      <c r="AW58" s="212"/>
      <c r="AX58" s="212"/>
      <c r="AY58" s="212"/>
      <c r="AZ58" s="212"/>
      <c r="BA58" s="143"/>
      <c r="BB58" s="143"/>
      <c r="BC58" s="228"/>
      <c r="BD58" s="228"/>
      <c r="BE58" s="230"/>
      <c r="BF58" s="230"/>
      <c r="BG58" s="421"/>
      <c r="BH58" s="226"/>
      <c r="BI58" s="227"/>
      <c r="BJ58" s="51"/>
      <c r="BK58" s="69"/>
      <c r="BL58" s="51"/>
      <c r="BM58" s="51"/>
      <c r="BN58" s="51"/>
      <c r="BO58" s="51"/>
      <c r="BP58" s="51"/>
      <c r="BQ58" s="51"/>
      <c r="BR58" s="155"/>
      <c r="BS58" s="155"/>
      <c r="BT58" s="51"/>
      <c r="BU58" s="440"/>
      <c r="BV58" s="51"/>
      <c r="BW58" s="51"/>
      <c r="CA58" s="466"/>
      <c r="CC58" s="53"/>
      <c r="CD58" s="144"/>
      <c r="CE58" s="79"/>
      <c r="CH58" s="144"/>
      <c r="CI58" s="216"/>
      <c r="CJ58" s="144"/>
      <c r="CK58" s="145"/>
      <c r="CL58" s="135"/>
      <c r="CQ58" s="79"/>
      <c r="CS58" s="79"/>
    </row>
    <row r="59" spans="2:97" ht="16.5" thickBot="1">
      <c r="B59" s="45" t="s">
        <v>87</v>
      </c>
      <c r="C59" s="456">
        <f>SUM(C4:C57)</f>
        <v>33336</v>
      </c>
      <c r="D59" s="456">
        <f>SUM(D4:D57)</f>
        <v>566</v>
      </c>
      <c r="E59" s="456">
        <f>SUM(E4:E57)</f>
        <v>33902</v>
      </c>
      <c r="F59" s="456">
        <f>SUM(F4:F57)</f>
        <v>37480</v>
      </c>
      <c r="G59" s="61"/>
      <c r="H59" s="66">
        <f>SUM(H4:H57)</f>
        <v>33133</v>
      </c>
      <c r="I59" s="66">
        <f>SUM(I4:I57)</f>
        <v>530</v>
      </c>
      <c r="J59" s="66">
        <f>SUM(J4:J57)</f>
        <v>33663</v>
      </c>
      <c r="K59" s="66">
        <f>SUM(K4:K57)</f>
        <v>37198</v>
      </c>
      <c r="M59" s="29">
        <f>SUM(M4:M57)</f>
        <v>184038.71</v>
      </c>
      <c r="N59" s="29">
        <f aca="true" t="shared" si="16" ref="N59:T59">SUM(N4:N57)</f>
        <v>20635</v>
      </c>
      <c r="O59" s="29">
        <f t="shared" si="16"/>
        <v>37065</v>
      </c>
      <c r="P59" s="29">
        <f t="shared" si="16"/>
        <v>413281.3556</v>
      </c>
      <c r="Q59" s="29">
        <f t="shared" si="16"/>
        <v>11657</v>
      </c>
      <c r="R59" s="29">
        <f t="shared" si="16"/>
        <v>0</v>
      </c>
      <c r="S59" s="29">
        <f t="shared" si="16"/>
        <v>51088</v>
      </c>
      <c r="T59" s="29">
        <f t="shared" si="16"/>
        <v>40607.79287510001</v>
      </c>
      <c r="U59" s="29">
        <f>SUM(U4:U57)</f>
        <v>6733.695</v>
      </c>
      <c r="V59" s="29">
        <f>SUM(V4:V57)</f>
        <v>4450368.5534751</v>
      </c>
      <c r="W59" s="29">
        <f>SUM(W4:W57)</f>
        <v>-63777.28735000103</v>
      </c>
      <c r="X59" s="123">
        <f>SUM(X4:X57)</f>
        <v>4351459.266125098</v>
      </c>
      <c r="Y59" s="28"/>
      <c r="Z59" s="389">
        <f>SUM(Z4:Z57)</f>
        <v>0</v>
      </c>
      <c r="AA59" s="389">
        <f aca="true" t="shared" si="17" ref="AA59:BU59">SUM(AA4:AA57)</f>
        <v>58476</v>
      </c>
      <c r="AB59" s="389">
        <f t="shared" si="17"/>
        <v>0</v>
      </c>
      <c r="AC59" s="389">
        <f>SUM(AC4:AC57)</f>
        <v>105917</v>
      </c>
      <c r="AD59" s="389">
        <f>SUM(AD4:AD57)</f>
        <v>811663</v>
      </c>
      <c r="AE59" s="389">
        <f>SUM(AE4:AE57)</f>
        <v>50063.820000000014</v>
      </c>
      <c r="AF59" s="389">
        <f>SUM(AF4:AF57)</f>
        <v>0</v>
      </c>
      <c r="AG59" s="389">
        <f>SUM(AG4:AG57)</f>
        <v>324237</v>
      </c>
      <c r="AH59" s="389">
        <f t="shared" si="17"/>
        <v>0</v>
      </c>
      <c r="AI59" s="433">
        <f t="shared" si="17"/>
        <v>101706</v>
      </c>
      <c r="AJ59" s="389">
        <f t="shared" si="17"/>
        <v>31079</v>
      </c>
      <c r="AK59" s="389">
        <f t="shared" si="17"/>
        <v>452775</v>
      </c>
      <c r="AL59" s="200">
        <f t="shared" si="17"/>
        <v>0</v>
      </c>
      <c r="AM59" s="200">
        <f t="shared" si="17"/>
        <v>0</v>
      </c>
      <c r="AN59" s="200">
        <f t="shared" si="17"/>
        <v>0</v>
      </c>
      <c r="AO59" s="389">
        <f t="shared" si="17"/>
        <v>0</v>
      </c>
      <c r="AP59" s="389">
        <f t="shared" si="17"/>
        <v>0</v>
      </c>
      <c r="AQ59" s="389">
        <f t="shared" si="17"/>
        <v>0</v>
      </c>
      <c r="AR59" s="389">
        <f t="shared" si="17"/>
        <v>0</v>
      </c>
      <c r="AS59" s="389">
        <f t="shared" si="17"/>
        <v>0</v>
      </c>
      <c r="AT59" s="389">
        <f t="shared" si="17"/>
        <v>0</v>
      </c>
      <c r="AU59" s="389">
        <f t="shared" si="17"/>
        <v>0</v>
      </c>
      <c r="AV59" s="389">
        <f>SUM(AV4:AV57)</f>
        <v>137038</v>
      </c>
      <c r="AW59" s="389">
        <f t="shared" si="17"/>
        <v>-32600</v>
      </c>
      <c r="AX59" s="389">
        <f t="shared" si="17"/>
        <v>10622</v>
      </c>
      <c r="AY59" s="389">
        <f t="shared" si="17"/>
        <v>13668</v>
      </c>
      <c r="AZ59" s="387">
        <f t="shared" si="17"/>
        <v>4000</v>
      </c>
      <c r="BA59" s="388">
        <f t="shared" si="17"/>
        <v>0</v>
      </c>
      <c r="BB59" s="388">
        <f t="shared" si="17"/>
        <v>0</v>
      </c>
      <c r="BC59" s="389">
        <f>SUM(BC4:BC57)</f>
        <v>137975</v>
      </c>
      <c r="BD59" s="389">
        <f t="shared" si="17"/>
        <v>-12000</v>
      </c>
      <c r="BE59" s="387">
        <f t="shared" si="17"/>
        <v>66193</v>
      </c>
      <c r="BF59" s="387">
        <f t="shared" si="17"/>
        <v>-9000</v>
      </c>
      <c r="BG59" s="387">
        <f t="shared" si="17"/>
        <v>25860</v>
      </c>
      <c r="BH59" s="387">
        <f t="shared" si="17"/>
        <v>118177</v>
      </c>
      <c r="BI59" s="389">
        <f t="shared" si="17"/>
        <v>30081.948860328685</v>
      </c>
      <c r="BJ59" s="201">
        <f t="shared" si="17"/>
        <v>0</v>
      </c>
      <c r="BK59" s="428">
        <f t="shared" si="17"/>
        <v>0</v>
      </c>
      <c r="BL59" s="201">
        <f t="shared" si="17"/>
        <v>0</v>
      </c>
      <c r="BM59" s="201">
        <f t="shared" si="17"/>
        <v>0</v>
      </c>
      <c r="BN59" s="201">
        <f t="shared" si="17"/>
        <v>0</v>
      </c>
      <c r="BO59" s="201">
        <f t="shared" si="17"/>
        <v>0</v>
      </c>
      <c r="BP59" s="201">
        <f t="shared" si="17"/>
        <v>0</v>
      </c>
      <c r="BQ59" s="201">
        <f t="shared" si="17"/>
        <v>0</v>
      </c>
      <c r="BR59" s="200">
        <f t="shared" si="17"/>
        <v>0</v>
      </c>
      <c r="BS59" s="200">
        <f t="shared" si="17"/>
        <v>105969</v>
      </c>
      <c r="BT59" s="29">
        <f t="shared" si="17"/>
        <v>0</v>
      </c>
      <c r="BU59" s="441">
        <f t="shared" si="17"/>
        <v>183300</v>
      </c>
      <c r="BV59" s="28"/>
      <c r="BW59" s="39">
        <f>SUM(BW4:BW57)</f>
        <v>2715200.7688603266</v>
      </c>
      <c r="BX59" s="28"/>
      <c r="BY59" s="40">
        <f>SUM(BY4:BY57)</f>
        <v>1636258.4972647708</v>
      </c>
      <c r="CA59" s="467">
        <f>SUM(CA4:CA57)</f>
        <v>1272343</v>
      </c>
      <c r="CC59" s="54">
        <f>SUM(CC4:CC57)</f>
        <v>363915.4972647702</v>
      </c>
      <c r="CD59" s="136"/>
      <c r="CE59" s="80">
        <v>1632859.4261250992</v>
      </c>
      <c r="CF59" s="447"/>
      <c r="CG59" s="80">
        <v>1745997.62246359</v>
      </c>
      <c r="CH59" s="136"/>
      <c r="CI59" s="80">
        <v>2141132.046125099</v>
      </c>
      <c r="CJ59" s="136"/>
      <c r="CK59" s="39">
        <v>2334256.6148795476</v>
      </c>
      <c r="CL59" s="136"/>
      <c r="CM59" s="39">
        <v>2744771.1565165585</v>
      </c>
      <c r="CO59" s="39">
        <v>2935508.7734204726</v>
      </c>
      <c r="CQ59" s="80">
        <v>2868155.0665402818</v>
      </c>
      <c r="CS59" s="80">
        <v>2997026</v>
      </c>
    </row>
    <row r="60" spans="2:73" ht="15.75" thickBot="1">
      <c r="B60" s="58"/>
      <c r="Z60" s="490">
        <f>Z59+AA59</f>
        <v>58476</v>
      </c>
      <c r="AA60" s="491"/>
      <c r="AB60" s="490">
        <f>AB59+AC59</f>
        <v>105917</v>
      </c>
      <c r="AC60" s="491"/>
      <c r="AD60" s="490">
        <f>AD59+AE59</f>
        <v>861726.8200000001</v>
      </c>
      <c r="AE60" s="491"/>
      <c r="AF60" s="490">
        <f>AF59+AG59</f>
        <v>324237</v>
      </c>
      <c r="AG60" s="491"/>
      <c r="AH60" s="390">
        <f>AH59+AI59</f>
        <v>101706</v>
      </c>
      <c r="AI60" s="434"/>
      <c r="AJ60" s="490">
        <f>AJ59+AK59</f>
        <v>483854</v>
      </c>
      <c r="AK60" s="491"/>
      <c r="AL60" s="202">
        <f>AL59+AM59</f>
        <v>0</v>
      </c>
      <c r="AM60" s="203"/>
      <c r="AN60" s="202">
        <f>AN59+AO59</f>
        <v>0</v>
      </c>
      <c r="AO60" s="203"/>
      <c r="AP60" s="202">
        <f>AP59+AQ59</f>
        <v>0</v>
      </c>
      <c r="AQ60" s="203"/>
      <c r="AR60" s="404">
        <f>AR59+AS59</f>
        <v>0</v>
      </c>
      <c r="AS60" s="213"/>
      <c r="AT60" s="202">
        <f>AT59+AU59</f>
        <v>0</v>
      </c>
      <c r="AU60" s="203"/>
      <c r="AV60" s="492">
        <f>SUM(AV59:AZ59)</f>
        <v>132728</v>
      </c>
      <c r="AW60" s="493"/>
      <c r="AX60" s="493"/>
      <c r="AY60" s="493"/>
      <c r="AZ60" s="494"/>
      <c r="BA60" s="202">
        <f>BA59+BB59</f>
        <v>0</v>
      </c>
      <c r="BB60" s="204"/>
      <c r="BC60" s="493">
        <f>SUM(BC59:BI59)</f>
        <v>357286.9488603287</v>
      </c>
      <c r="BD60" s="493"/>
      <c r="BE60" s="493"/>
      <c r="BF60" s="493"/>
      <c r="BG60" s="493"/>
      <c r="BH60" s="493"/>
      <c r="BI60" s="493"/>
      <c r="BJ60" s="492">
        <f>BJ59+BK59</f>
        <v>0</v>
      </c>
      <c r="BK60" s="494"/>
      <c r="BL60" s="492">
        <f>BL59+BM59</f>
        <v>0</v>
      </c>
      <c r="BM60" s="494"/>
      <c r="BN60" s="492">
        <f>BN59+BO59</f>
        <v>0</v>
      </c>
      <c r="BO60" s="494"/>
      <c r="BP60" s="492">
        <f>BP59+BQ59</f>
        <v>0</v>
      </c>
      <c r="BQ60" s="494"/>
      <c r="BR60" s="495">
        <f>BR59+BS59</f>
        <v>105969</v>
      </c>
      <c r="BS60" s="496"/>
      <c r="BT60" s="492">
        <f>BT59+BU59</f>
        <v>183300</v>
      </c>
      <c r="BU60" s="494"/>
    </row>
    <row r="61" spans="2:81" ht="27.75" customHeight="1">
      <c r="B61" s="58"/>
      <c r="BE61" s="230"/>
      <c r="BF61" s="230"/>
      <c r="BG61" s="421"/>
      <c r="BH61" s="226"/>
      <c r="BW61" s="117" t="s">
        <v>112</v>
      </c>
      <c r="BY61" s="205">
        <f>BY11+BY12+BY13+BY14+BY17+BY19+BY20+BY24+BY25+BY28+BY29+BY30+BY37+BY38+BY39+BY40+BY41+BY42+BY43+BY44+BY45+BY46+BY47+BY48+BY49+BY50+BY51+BY52+BY53+BY55+BY56+BY57</f>
        <v>-756229.6072672878</v>
      </c>
      <c r="CA61" s="69"/>
      <c r="CC61" s="51"/>
    </row>
    <row r="62" spans="2:81" ht="15">
      <c r="B62" s="58"/>
      <c r="E62" s="69"/>
      <c r="BY62" s="51"/>
      <c r="CA62" s="69"/>
      <c r="CC62" s="51"/>
    </row>
    <row r="63" spans="2:81" ht="15">
      <c r="B63" s="58"/>
      <c r="BC63" s="224" t="s">
        <v>130</v>
      </c>
      <c r="BW63" t="s">
        <v>131</v>
      </c>
      <c r="BY63" s="51">
        <f>+BY4+BY5+BY6+BY7+BY8+BY9+BY10+BY15+BY16+BY18+BY21+BY22+BY23+BY26+BY27+BY31+BY32+BY33+BY34+BY35+BY36+BY54</f>
        <v>2392488.104532058</v>
      </c>
      <c r="CA63" s="69"/>
      <c r="CC63" s="51"/>
    </row>
    <row r="64" spans="2:81" ht="15">
      <c r="B64" s="58"/>
      <c r="BW64" t="s">
        <v>138</v>
      </c>
      <c r="BY64" s="51">
        <f>BY61+BY63</f>
        <v>1636258.49726477</v>
      </c>
      <c r="CC64" s="51"/>
    </row>
    <row r="65" spans="2:77" ht="15">
      <c r="B65" s="58"/>
      <c r="BY65" s="51"/>
    </row>
    <row r="66" ht="15">
      <c r="B66" s="58"/>
    </row>
    <row r="67" ht="15">
      <c r="B67" s="58"/>
    </row>
    <row r="68" ht="15">
      <c r="B68" s="58"/>
    </row>
    <row r="69" ht="15">
      <c r="B69" s="58"/>
    </row>
    <row r="70" ht="15">
      <c r="B70" s="58"/>
    </row>
    <row r="71" ht="15">
      <c r="B71" s="58"/>
    </row>
    <row r="72" ht="15">
      <c r="B72" s="58"/>
    </row>
    <row r="73" ht="15">
      <c r="B73" s="58"/>
    </row>
    <row r="74" ht="15">
      <c r="B74" s="58"/>
    </row>
    <row r="75" ht="15">
      <c r="B75" s="58"/>
    </row>
    <row r="76" ht="15">
      <c r="B76" s="58"/>
    </row>
    <row r="77" ht="15">
      <c r="B77" s="58"/>
    </row>
    <row r="78" ht="15">
      <c r="B78" s="58"/>
    </row>
    <row r="79" ht="15">
      <c r="B79" s="58"/>
    </row>
    <row r="80" ht="15">
      <c r="B80" s="58"/>
    </row>
    <row r="81" ht="15">
      <c r="B81" s="58"/>
    </row>
    <row r="82" ht="15">
      <c r="B82" s="58"/>
    </row>
    <row r="83" ht="15">
      <c r="B83" s="58"/>
    </row>
    <row r="84" ht="15">
      <c r="B84" s="58"/>
    </row>
    <row r="85" ht="15">
      <c r="B85" s="58"/>
    </row>
    <row r="86" ht="15">
      <c r="B86" s="58"/>
    </row>
    <row r="87" ht="15">
      <c r="B87" s="58"/>
    </row>
    <row r="88" ht="15">
      <c r="B88" s="58"/>
    </row>
    <row r="89" ht="15">
      <c r="B89" s="58"/>
    </row>
    <row r="90" ht="15">
      <c r="B90" s="58"/>
    </row>
    <row r="91" ht="15">
      <c r="B91" s="58"/>
    </row>
    <row r="92" ht="15">
      <c r="B92" s="58"/>
    </row>
    <row r="93" ht="15">
      <c r="B93" s="58"/>
    </row>
    <row r="94" ht="15">
      <c r="B94" s="58"/>
    </row>
    <row r="95" ht="15">
      <c r="B95" s="58"/>
    </row>
    <row r="96" ht="15">
      <c r="B96" s="58"/>
    </row>
    <row r="97" ht="15">
      <c r="B97" s="58"/>
    </row>
    <row r="98" ht="15">
      <c r="B98" s="58"/>
    </row>
    <row r="99" ht="15">
      <c r="B99" s="58"/>
    </row>
    <row r="100" ht="15">
      <c r="B100" s="58"/>
    </row>
    <row r="101" ht="15">
      <c r="B101" s="58"/>
    </row>
    <row r="102" ht="15">
      <c r="B102" s="58"/>
    </row>
    <row r="103" ht="15">
      <c r="B103" s="58"/>
    </row>
    <row r="104" ht="15">
      <c r="B104" s="58"/>
    </row>
    <row r="105" ht="15">
      <c r="B105" s="58"/>
    </row>
    <row r="106" ht="15">
      <c r="B106" s="58"/>
    </row>
    <row r="107" ht="15">
      <c r="B107" s="58"/>
    </row>
    <row r="108" ht="15">
      <c r="B108" s="58"/>
    </row>
    <row r="109" ht="15">
      <c r="B109" s="58"/>
    </row>
    <row r="110" ht="15">
      <c r="B110" s="58"/>
    </row>
    <row r="111" ht="15">
      <c r="B111" s="58"/>
    </row>
    <row r="112" ht="15">
      <c r="B112" s="58"/>
    </row>
    <row r="113" ht="15">
      <c r="B113" s="58"/>
    </row>
    <row r="114" ht="15">
      <c r="B114" s="58"/>
    </row>
    <row r="115" ht="15">
      <c r="B115" s="58"/>
    </row>
    <row r="116" ht="15">
      <c r="B116" s="58"/>
    </row>
    <row r="117" ht="15">
      <c r="B117" s="58"/>
    </row>
    <row r="118" ht="15">
      <c r="B118" s="58"/>
    </row>
    <row r="119" ht="15">
      <c r="B119" s="58"/>
    </row>
    <row r="120" ht="15">
      <c r="B120" s="58"/>
    </row>
    <row r="121" ht="15">
      <c r="B121" s="58"/>
    </row>
    <row r="122" ht="15">
      <c r="B122" s="58"/>
    </row>
    <row r="123" ht="15">
      <c r="B123" s="58"/>
    </row>
    <row r="124" ht="15">
      <c r="B124" s="58"/>
    </row>
    <row r="125" ht="15">
      <c r="B125" s="58"/>
    </row>
    <row r="126" ht="15">
      <c r="B126" s="58"/>
    </row>
    <row r="127" ht="15">
      <c r="B127" s="58"/>
    </row>
    <row r="128" ht="15">
      <c r="B128" s="58"/>
    </row>
    <row r="129" ht="15">
      <c r="B129" s="58"/>
    </row>
    <row r="130" ht="15">
      <c r="B130" s="58"/>
    </row>
    <row r="131" ht="15">
      <c r="B131" s="58"/>
    </row>
    <row r="132" ht="15">
      <c r="B132" s="58"/>
    </row>
    <row r="133" ht="15">
      <c r="B133" s="58"/>
    </row>
    <row r="134" ht="15">
      <c r="B134" s="58"/>
    </row>
    <row r="135" ht="15">
      <c r="B135" s="58"/>
    </row>
    <row r="136" ht="15">
      <c r="B136" s="58"/>
    </row>
    <row r="137" ht="15">
      <c r="B137" s="58"/>
    </row>
    <row r="138" ht="15">
      <c r="B138" s="58"/>
    </row>
    <row r="139" ht="15">
      <c r="B139" s="58"/>
    </row>
    <row r="140" ht="15">
      <c r="B140" s="58"/>
    </row>
  </sheetData>
  <sheetProtection password="CA23" sheet="1"/>
  <mergeCells count="35">
    <mergeCell ref="BT60:BU60"/>
    <mergeCell ref="BC60:BI60"/>
    <mergeCell ref="BJ60:BK60"/>
    <mergeCell ref="BL60:BM60"/>
    <mergeCell ref="BN60:BO60"/>
    <mergeCell ref="BP60:BQ60"/>
    <mergeCell ref="BR60:BS60"/>
    <mergeCell ref="Z60:AA60"/>
    <mergeCell ref="AB60:AC60"/>
    <mergeCell ref="AD60:AE60"/>
    <mergeCell ref="AF60:AG60"/>
    <mergeCell ref="AJ60:AK60"/>
    <mergeCell ref="AV60:AZ60"/>
    <mergeCell ref="AH2:AI2"/>
    <mergeCell ref="AJ2:AK2"/>
    <mergeCell ref="AL2:AM2"/>
    <mergeCell ref="C2:E2"/>
    <mergeCell ref="H2:J2"/>
    <mergeCell ref="Z2:AA2"/>
    <mergeCell ref="AB2:AC2"/>
    <mergeCell ref="AD2:AE2"/>
    <mergeCell ref="AF2:AG2"/>
    <mergeCell ref="AN2:AO2"/>
    <mergeCell ref="AP2:AQ2"/>
    <mergeCell ref="AR2:AS2"/>
    <mergeCell ref="BN2:BO2"/>
    <mergeCell ref="BP2:BQ2"/>
    <mergeCell ref="BR2:BS2"/>
    <mergeCell ref="BC2:BI2"/>
    <mergeCell ref="BT2:BU2"/>
    <mergeCell ref="AT2:AU2"/>
    <mergeCell ref="BA2:BB2"/>
    <mergeCell ref="BJ2:BK2"/>
    <mergeCell ref="BL2:BM2"/>
    <mergeCell ref="AV2:AZ2"/>
  </mergeCells>
  <printOptions/>
  <pageMargins left="0.08" right="0.25" top="0.984251969" bottom="0.984251969" header="0.3" footer="0.3"/>
  <pageSetup fitToWidth="2" fitToHeight="1" orientation="landscape" pageOrder="overThenDown" paperSize="8" scale="6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Pronteau Sylvain</dc:creator>
  <cp:keywords/>
  <dc:description/>
  <cp:lastModifiedBy>Microsoft Office User</cp:lastModifiedBy>
  <cp:lastPrinted>2021-11-22T10:05:14Z</cp:lastPrinted>
  <dcterms:created xsi:type="dcterms:W3CDTF">2013-04-22T15:17:48Z</dcterms:created>
  <dcterms:modified xsi:type="dcterms:W3CDTF">2021-11-24T12:52:28Z</dcterms:modified>
  <cp:category/>
  <cp:version/>
  <cp:contentType/>
  <cp:contentStatus/>
</cp:coreProperties>
</file>